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tables/table1.xml" ContentType="application/vnd.openxmlformats-officedocument.spreadsheetml.table+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C:\Users\ryanz\Downloads\"/>
    </mc:Choice>
  </mc:AlternateContent>
  <xr:revisionPtr revIDLastSave="0" documentId="13_ncr:1_{8CAB4AB4-79C4-4CBB-9F43-10A5A60CD3FF}" xr6:coauthVersionLast="47" xr6:coauthVersionMax="47" xr10:uidLastSave="{00000000-0000-0000-0000-000000000000}"/>
  <bookViews>
    <workbookView xWindow="38280" yWindow="-120" windowWidth="38640" windowHeight="21240" tabRatio="778" activeTab="2" xr2:uid="{00000000-000D-0000-FFFF-FFFF00000000}"/>
  </bookViews>
  <sheets>
    <sheet name="Instructions &amp; Definitions" sheetId="26" r:id="rId1"/>
    <sheet name="Design Example (APA T555)" sheetId="33" r:id="rId2"/>
    <sheet name="One Opening" sheetId="29" r:id="rId3"/>
    <sheet name="Two Openings" sheetId="28" r:id="rId4"/>
    <sheet name="Three Openings" sheetId="27" r:id="rId5"/>
    <sheet name="LookUp" sheetId="38" state="hidden" r:id="rId6"/>
    <sheet name="Images" sheetId="34" state="hidden" r:id="rId7"/>
  </sheets>
  <definedNames>
    <definedName name="Expire">Images!$B$6</definedName>
    <definedName name="ExpireOpen">Images!$B$10</definedName>
    <definedName name="ExpireThree">Images!$D$16</definedName>
    <definedName name="FastenerSlip">LookUp!$G$2:$M$5</definedName>
    <definedName name="Full_List">LookUp!#REF!</definedName>
    <definedName name="InstructLogo">Images!$B$3</definedName>
    <definedName name="OneOpen">Images!$B$8</definedName>
    <definedName name="Picture">INDIRECT('Instructions &amp; Definitions'!$B$2)</definedName>
    <definedName name="Picture1">INDIRECT('One Opening'!$B$2)</definedName>
    <definedName name="Picture2">INDIRECT('Two Openings'!$B$2)</definedName>
    <definedName name="Picture3">INDIRECT('Three Openings'!$B$2)</definedName>
    <definedName name="_xlnm.Print_Area" localSheetId="1">'Design Example (APA T555)'!$B$2:$M$197</definedName>
    <definedName name="_xlnm.Print_Area" localSheetId="0">'Instructions &amp; Definitions'!$B$2:$C$96</definedName>
    <definedName name="_xlnm.Print_Area" localSheetId="2">'One Opening'!$B$2:$M$168</definedName>
    <definedName name="_xlnm.Print_Area" localSheetId="4">'Three Openings'!$B$2:$N$202</definedName>
    <definedName name="_xlnm.Print_Area" localSheetId="3">'Two Openings'!$B$2:$M$178</definedName>
    <definedName name="_xlnm.Print_Titles" localSheetId="1">'Design Example (APA T555)'!$3:$8</definedName>
    <definedName name="_xlnm.Print_Titles" localSheetId="2">'One Opening'!$3:$8</definedName>
    <definedName name="_xlnm.Print_Titles" localSheetId="4">'Three Openings'!$3:$8</definedName>
    <definedName name="_xlnm.Print_Titles" localSheetId="3">'Two Openings'!$3:$8</definedName>
    <definedName name="Short_List">LookUp!#REF!</definedName>
    <definedName name="Table25">LookUp!$A$12:$C$25</definedName>
    <definedName name="Table50">LookUp!$A$29:$C$140</definedName>
    <definedName name="ThreeOpen">Images!$B$14</definedName>
    <definedName name="TwoOpen">Images!$B$12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26" l="1"/>
  <c r="B2" i="27"/>
  <c r="B2" i="28"/>
  <c r="B2" i="29"/>
  <c r="H102" i="33"/>
  <c r="G102" i="33"/>
  <c r="F102" i="33"/>
  <c r="E102" i="33"/>
  <c r="D102" i="33"/>
  <c r="C102" i="33"/>
  <c r="H160" i="27"/>
  <c r="G135" i="29"/>
  <c r="G140" i="28"/>
  <c r="J173" i="27"/>
  <c r="I173" i="27"/>
  <c r="H173" i="27"/>
  <c r="G173" i="27"/>
  <c r="F173" i="27"/>
  <c r="E173" i="27"/>
  <c r="D173" i="27"/>
  <c r="C173" i="27"/>
  <c r="J172" i="27"/>
  <c r="I172" i="27"/>
  <c r="H172" i="27"/>
  <c r="G172" i="27"/>
  <c r="F172" i="27"/>
  <c r="E172" i="27"/>
  <c r="D172" i="27"/>
  <c r="C172" i="27"/>
  <c r="J171" i="27"/>
  <c r="I171" i="27"/>
  <c r="H171" i="27"/>
  <c r="G171" i="27"/>
  <c r="F171" i="27"/>
  <c r="E171" i="27"/>
  <c r="D171" i="27"/>
  <c r="C171" i="27"/>
  <c r="J170" i="27"/>
  <c r="I170" i="27"/>
  <c r="H170" i="27"/>
  <c r="G170" i="27"/>
  <c r="F170" i="27"/>
  <c r="E170" i="27"/>
  <c r="D170" i="27"/>
  <c r="C170" i="27"/>
  <c r="J119" i="27"/>
  <c r="I119" i="27"/>
  <c r="H119" i="27"/>
  <c r="G119" i="27"/>
  <c r="F119" i="27"/>
  <c r="E119" i="27"/>
  <c r="D119" i="27"/>
  <c r="C119" i="27"/>
  <c r="H104" i="28"/>
  <c r="H154" i="28" s="1"/>
  <c r="G104" i="28"/>
  <c r="G154" i="28" s="1"/>
  <c r="F104" i="28"/>
  <c r="E104" i="28"/>
  <c r="E154" i="28" s="1"/>
  <c r="D104" i="28"/>
  <c r="D154" i="28" s="1"/>
  <c r="C104" i="28"/>
  <c r="C154" i="28" s="1"/>
  <c r="F154" i="28"/>
  <c r="H153" i="28"/>
  <c r="G153" i="28"/>
  <c r="F153" i="28"/>
  <c r="E153" i="28"/>
  <c r="D153" i="28"/>
  <c r="C153" i="28"/>
  <c r="H152" i="28"/>
  <c r="G152" i="28"/>
  <c r="F152" i="28"/>
  <c r="E152" i="28"/>
  <c r="D152" i="28"/>
  <c r="C152" i="28"/>
  <c r="H151" i="28"/>
  <c r="G151" i="28"/>
  <c r="F151" i="28"/>
  <c r="E151" i="28"/>
  <c r="D151" i="28"/>
  <c r="C151" i="28"/>
  <c r="F149" i="29"/>
  <c r="E149" i="29"/>
  <c r="D149" i="29"/>
  <c r="C149" i="29"/>
  <c r="F148" i="29"/>
  <c r="E148" i="29"/>
  <c r="D148" i="29"/>
  <c r="C148" i="29"/>
  <c r="F147" i="29"/>
  <c r="E147" i="29"/>
  <c r="D147" i="29"/>
  <c r="C147" i="29"/>
  <c r="F146" i="29"/>
  <c r="E146" i="29"/>
  <c r="D146" i="29"/>
  <c r="C146" i="29"/>
  <c r="F101" i="29"/>
  <c r="E101" i="29"/>
  <c r="D101" i="29"/>
  <c r="C101" i="29"/>
  <c r="B31" i="29"/>
  <c r="B31" i="28"/>
  <c r="B35" i="27"/>
  <c r="E132" i="28" l="1"/>
  <c r="C135" i="28"/>
  <c r="C138" i="33" l="1"/>
  <c r="K134" i="33"/>
  <c r="K133" i="33"/>
  <c r="C103" i="33"/>
  <c r="K96" i="33"/>
  <c r="K95" i="33"/>
  <c r="C150" i="29"/>
  <c r="H149" i="29" s="1"/>
  <c r="C155" i="28"/>
  <c r="C174" i="27"/>
  <c r="L92" i="27" s="1"/>
  <c r="D159" i="27"/>
  <c r="C176" i="27"/>
  <c r="C177" i="27"/>
  <c r="M167" i="27"/>
  <c r="M166" i="27"/>
  <c r="K147" i="28"/>
  <c r="L160" i="27"/>
  <c r="L159" i="27"/>
  <c r="L158" i="27"/>
  <c r="L155" i="27"/>
  <c r="H158" i="27"/>
  <c r="H156" i="27"/>
  <c r="H155" i="27"/>
  <c r="D160" i="27"/>
  <c r="D156" i="27"/>
  <c r="D155" i="27"/>
  <c r="E152" i="27"/>
  <c r="C126" i="27"/>
  <c r="C125" i="27"/>
  <c r="M113" i="27"/>
  <c r="M112" i="27"/>
  <c r="Q105" i="27"/>
  <c r="P105" i="27"/>
  <c r="Q104" i="27"/>
  <c r="P104" i="27"/>
  <c r="Q103" i="27"/>
  <c r="G121" i="27" s="1"/>
  <c r="P103" i="27"/>
  <c r="C121" i="27"/>
  <c r="C120" i="27"/>
  <c r="M106" i="27"/>
  <c r="I126" i="27" s="1"/>
  <c r="L26" i="27"/>
  <c r="L29" i="27"/>
  <c r="L28" i="27"/>
  <c r="L27" i="27"/>
  <c r="K28" i="28"/>
  <c r="H26" i="28"/>
  <c r="I177" i="27" l="1"/>
  <c r="M160" i="27"/>
  <c r="L169" i="27"/>
  <c r="I27" i="27"/>
  <c r="I26" i="27"/>
  <c r="I25" i="27"/>
  <c r="B30" i="29" l="1"/>
  <c r="K136" i="29"/>
  <c r="L136" i="29" s="1"/>
  <c r="K135" i="29"/>
  <c r="L135" i="29" s="1"/>
  <c r="K134" i="29"/>
  <c r="L134" i="29" s="1"/>
  <c r="C135" i="29"/>
  <c r="C134" i="29"/>
  <c r="K130" i="29"/>
  <c r="G131" i="29"/>
  <c r="G130" i="29"/>
  <c r="C131" i="29"/>
  <c r="C130" i="29"/>
  <c r="I143" i="29"/>
  <c r="I142" i="29"/>
  <c r="I95" i="29"/>
  <c r="I94" i="29"/>
  <c r="E127" i="29"/>
  <c r="C102" i="29" l="1"/>
  <c r="K97" i="28"/>
  <c r="C105" i="28"/>
  <c r="B32" i="29"/>
  <c r="B25" i="29"/>
  <c r="B32" i="28"/>
  <c r="B25" i="28" l="1"/>
  <c r="G136" i="28" l="1"/>
  <c r="C140" i="28"/>
  <c r="C139" i="28"/>
  <c r="J154" i="28" l="1"/>
  <c r="K135" i="28"/>
  <c r="K141" i="28"/>
  <c r="L141" i="28" s="1"/>
  <c r="K140" i="28"/>
  <c r="L140" i="28" s="1"/>
  <c r="K139" i="28"/>
  <c r="L139" i="28" s="1"/>
  <c r="G135" i="28"/>
  <c r="C136" i="28"/>
  <c r="L77" i="28" l="1"/>
  <c r="K148" i="28"/>
  <c r="K98" i="28"/>
  <c r="D28" i="28"/>
  <c r="F105" i="28" l="1"/>
  <c r="L72" i="29"/>
  <c r="E102" i="29"/>
  <c r="F102" i="29" l="1"/>
  <c r="D102" i="29"/>
  <c r="H105" i="28"/>
  <c r="G105" i="28"/>
  <c r="D105" i="28"/>
  <c r="E105" i="28"/>
  <c r="B7" i="38" l="1"/>
  <c r="B5" i="38"/>
  <c r="B4" i="38"/>
  <c r="B3" i="38"/>
  <c r="E27" i="29" l="1"/>
  <c r="D28" i="33" l="1"/>
  <c r="C97" i="29" l="1"/>
  <c r="C141" i="33"/>
  <c r="D141" i="33" s="1"/>
  <c r="C140" i="33"/>
  <c r="D140" i="33" s="1"/>
  <c r="G139" i="33"/>
  <c r="H139" i="33" s="1"/>
  <c r="E139" i="33"/>
  <c r="F139" i="33" s="1"/>
  <c r="C139" i="33"/>
  <c r="D139" i="33" s="1"/>
  <c r="H138" i="33"/>
  <c r="H135" i="33"/>
  <c r="G135" i="33"/>
  <c r="F135" i="33"/>
  <c r="E135" i="33"/>
  <c r="D135" i="33"/>
  <c r="C135" i="33"/>
  <c r="C109" i="33"/>
  <c r="C108" i="33"/>
  <c r="D108" i="33" s="1"/>
  <c r="G107" i="33"/>
  <c r="H107" i="33" s="1"/>
  <c r="E107" i="33"/>
  <c r="F107" i="33" s="1"/>
  <c r="C107" i="33"/>
  <c r="D107" i="33" s="1"/>
  <c r="C104" i="33"/>
  <c r="D104" i="33" s="1"/>
  <c r="D103" i="33"/>
  <c r="H97" i="33"/>
  <c r="G97" i="33"/>
  <c r="F97" i="33"/>
  <c r="E97" i="33"/>
  <c r="D97" i="33"/>
  <c r="C97" i="33"/>
  <c r="O88" i="33"/>
  <c r="L88" i="33"/>
  <c r="G109" i="33" s="1"/>
  <c r="O87" i="33"/>
  <c r="E140" i="33" s="1"/>
  <c r="F140" i="33" s="1"/>
  <c r="L87" i="33"/>
  <c r="G108" i="33" s="1"/>
  <c r="H108" i="33" s="1"/>
  <c r="O86" i="33"/>
  <c r="E104" i="33" s="1"/>
  <c r="F104" i="33" s="1"/>
  <c r="L86" i="33"/>
  <c r="G104" i="33" s="1"/>
  <c r="H104" i="33" s="1"/>
  <c r="G51" i="33"/>
  <c r="G50" i="33"/>
  <c r="G49" i="33"/>
  <c r="G48" i="33"/>
  <c r="D29" i="33"/>
  <c r="C136" i="33"/>
  <c r="H136" i="33" s="1"/>
  <c r="K27" i="33"/>
  <c r="L27" i="33" s="1"/>
  <c r="H27" i="33"/>
  <c r="K26" i="33"/>
  <c r="L26" i="33" s="1"/>
  <c r="H26" i="33"/>
  <c r="K28" i="33" s="1"/>
  <c r="L28" i="33" s="1"/>
  <c r="H25" i="33"/>
  <c r="C124" i="27"/>
  <c r="D124" i="27" s="1"/>
  <c r="C153" i="29"/>
  <c r="D153" i="29" s="1"/>
  <c r="D177" i="27"/>
  <c r="D176" i="27"/>
  <c r="I175" i="27"/>
  <c r="J175" i="27" s="1"/>
  <c r="G175" i="27"/>
  <c r="H175" i="27" s="1"/>
  <c r="E175" i="27"/>
  <c r="F175" i="27" s="1"/>
  <c r="C175" i="27"/>
  <c r="D175" i="27" s="1"/>
  <c r="I124" i="27"/>
  <c r="J124" i="27" s="1"/>
  <c r="G124" i="27"/>
  <c r="H124" i="27" s="1"/>
  <c r="E124" i="27"/>
  <c r="F124" i="27" s="1"/>
  <c r="D126" i="27"/>
  <c r="D125" i="27"/>
  <c r="D121" i="27"/>
  <c r="J168" i="27"/>
  <c r="I168" i="27"/>
  <c r="H168" i="27"/>
  <c r="G168" i="27"/>
  <c r="F168" i="27"/>
  <c r="E168" i="27"/>
  <c r="D168" i="27"/>
  <c r="C168" i="27"/>
  <c r="G177" i="27"/>
  <c r="H177" i="27" s="1"/>
  <c r="G176" i="27"/>
  <c r="H176" i="27" s="1"/>
  <c r="E126" i="27"/>
  <c r="F126" i="27" s="1"/>
  <c r="E176" i="27"/>
  <c r="F176" i="27" s="1"/>
  <c r="E121" i="27"/>
  <c r="M105" i="27"/>
  <c r="M104" i="27"/>
  <c r="M158" i="27" s="1"/>
  <c r="H121" i="27"/>
  <c r="J114" i="27"/>
  <c r="I114" i="27"/>
  <c r="H114" i="27"/>
  <c r="G114" i="27"/>
  <c r="F114" i="27"/>
  <c r="E114" i="27"/>
  <c r="D114" i="27"/>
  <c r="C114" i="27"/>
  <c r="C30" i="27"/>
  <c r="C29" i="27"/>
  <c r="M29" i="27"/>
  <c r="G27" i="27"/>
  <c r="G26" i="27"/>
  <c r="G25" i="27"/>
  <c r="C158" i="28"/>
  <c r="D158" i="28" s="1"/>
  <c r="C157" i="28"/>
  <c r="D157" i="28" s="1"/>
  <c r="G156" i="28"/>
  <c r="H156" i="28" s="1"/>
  <c r="E156" i="28"/>
  <c r="F156" i="28" s="1"/>
  <c r="C156" i="28"/>
  <c r="D156" i="28" s="1"/>
  <c r="H149" i="28"/>
  <c r="G149" i="28"/>
  <c r="F149" i="28"/>
  <c r="E149" i="28"/>
  <c r="D149" i="28"/>
  <c r="C149" i="28"/>
  <c r="C108" i="29"/>
  <c r="D108" i="29" s="1"/>
  <c r="C107" i="29"/>
  <c r="D107" i="29" s="1"/>
  <c r="E106" i="29"/>
  <c r="F106" i="29" s="1"/>
  <c r="C106" i="29"/>
  <c r="D106" i="29" s="1"/>
  <c r="C103" i="29"/>
  <c r="D103" i="29" s="1"/>
  <c r="F96" i="29"/>
  <c r="E96" i="29"/>
  <c r="D96" i="29"/>
  <c r="C96" i="29"/>
  <c r="E151" i="29"/>
  <c r="F151" i="29" s="1"/>
  <c r="C152" i="29"/>
  <c r="D152" i="29" s="1"/>
  <c r="C151" i="29"/>
  <c r="D151" i="29" s="1"/>
  <c r="F144" i="29"/>
  <c r="E144" i="29"/>
  <c r="D144" i="29"/>
  <c r="C144" i="29"/>
  <c r="L86" i="29"/>
  <c r="E108" i="29" s="1"/>
  <c r="F108" i="29" s="1"/>
  <c r="L85" i="29"/>
  <c r="L84" i="29"/>
  <c r="E103" i="29" s="1"/>
  <c r="F103" i="29" s="1"/>
  <c r="E28" i="29"/>
  <c r="C145" i="29"/>
  <c r="G109" i="28"/>
  <c r="H109" i="28" s="1"/>
  <c r="E109" i="28"/>
  <c r="F109" i="28" s="1"/>
  <c r="C109" i="28"/>
  <c r="D109" i="28" s="1"/>
  <c r="C111" i="28"/>
  <c r="D111" i="28" s="1"/>
  <c r="C110" i="28"/>
  <c r="D110" i="28" s="1"/>
  <c r="O90" i="28"/>
  <c r="E158" i="28" s="1"/>
  <c r="F158" i="28" s="1"/>
  <c r="O89" i="28"/>
  <c r="E157" i="28" s="1"/>
  <c r="F157" i="28" s="1"/>
  <c r="O88" i="28"/>
  <c r="E106" i="28" s="1"/>
  <c r="F106" i="28" s="1"/>
  <c r="L90" i="28"/>
  <c r="G111" i="28" s="1"/>
  <c r="H111" i="28" s="1"/>
  <c r="L89" i="28"/>
  <c r="G110" i="28" s="1"/>
  <c r="H110" i="28" s="1"/>
  <c r="L88" i="28"/>
  <c r="G106" i="28" s="1"/>
  <c r="H106" i="28" s="1"/>
  <c r="C106" i="28"/>
  <c r="D106" i="28" s="1"/>
  <c r="H27" i="28"/>
  <c r="D29" i="28"/>
  <c r="L28" i="28"/>
  <c r="H25" i="28"/>
  <c r="C100" i="28"/>
  <c r="H99" i="28"/>
  <c r="G99" i="28"/>
  <c r="F99" i="28"/>
  <c r="E99" i="28"/>
  <c r="D99" i="28"/>
  <c r="C99" i="28"/>
  <c r="D97" i="29"/>
  <c r="D145" i="29"/>
  <c r="E145" i="29" s="1"/>
  <c r="E97" i="29"/>
  <c r="J27" i="29"/>
  <c r="K27" i="29" s="1"/>
  <c r="J26" i="29"/>
  <c r="K27" i="28"/>
  <c r="K26" i="28"/>
  <c r="L26" i="28" s="1"/>
  <c r="M26" i="27"/>
  <c r="J174" i="27"/>
  <c r="G63" i="27"/>
  <c r="G62" i="27"/>
  <c r="G61" i="27"/>
  <c r="G60" i="27"/>
  <c r="G59" i="27"/>
  <c r="G58" i="27"/>
  <c r="G52" i="28"/>
  <c r="G51" i="28"/>
  <c r="G50" i="28"/>
  <c r="G49" i="28"/>
  <c r="G48" i="29"/>
  <c r="G47" i="29"/>
  <c r="F155" i="28"/>
  <c r="F145" i="29"/>
  <c r="F97" i="29"/>
  <c r="F121" i="27" l="1"/>
  <c r="E111" i="28"/>
  <c r="I176" i="27"/>
  <c r="J176" i="27" s="1"/>
  <c r="M159" i="27"/>
  <c r="E134" i="33"/>
  <c r="F134" i="33" s="1"/>
  <c r="C134" i="33"/>
  <c r="D134" i="33" s="1"/>
  <c r="G134" i="33"/>
  <c r="H134" i="33" s="1"/>
  <c r="C96" i="33"/>
  <c r="D96" i="33" s="1"/>
  <c r="E96" i="33"/>
  <c r="F96" i="33" s="1"/>
  <c r="G96" i="33"/>
  <c r="H96" i="33" s="1"/>
  <c r="B30" i="28"/>
  <c r="I167" i="27"/>
  <c r="J167" i="27" s="1"/>
  <c r="G167" i="27"/>
  <c r="H167" i="27" s="1"/>
  <c r="C167" i="27"/>
  <c r="D167" i="27" s="1"/>
  <c r="E167" i="27"/>
  <c r="F167" i="27" s="1"/>
  <c r="J177" i="27"/>
  <c r="I125" i="27"/>
  <c r="I113" i="27"/>
  <c r="J113" i="27" s="1"/>
  <c r="E113" i="27"/>
  <c r="F113" i="27" s="1"/>
  <c r="G113" i="27"/>
  <c r="H113" i="27" s="1"/>
  <c r="C113" i="27"/>
  <c r="D113" i="27" s="1"/>
  <c r="I121" i="27"/>
  <c r="J121" i="27" s="1"/>
  <c r="G38" i="27"/>
  <c r="E91" i="27" s="1"/>
  <c r="B36" i="27"/>
  <c r="C169" i="27"/>
  <c r="J169" i="27" s="1"/>
  <c r="M27" i="27"/>
  <c r="J126" i="27"/>
  <c r="B34" i="27"/>
  <c r="C115" i="27"/>
  <c r="J115" i="27" s="1"/>
  <c r="G148" i="28"/>
  <c r="H148" i="28" s="1"/>
  <c r="E98" i="28"/>
  <c r="F98" i="28" s="1"/>
  <c r="E148" i="28"/>
  <c r="F148" i="28" s="1"/>
  <c r="C98" i="28"/>
  <c r="D98" i="28" s="1"/>
  <c r="C148" i="28"/>
  <c r="D148" i="28" s="1"/>
  <c r="G98" i="28"/>
  <c r="H98" i="28" s="1"/>
  <c r="E177" i="27"/>
  <c r="F177" i="27" s="1"/>
  <c r="E125" i="27"/>
  <c r="F125" i="27" s="1"/>
  <c r="M28" i="27"/>
  <c r="C143" i="29"/>
  <c r="D143" i="29" s="1"/>
  <c r="E143" i="29"/>
  <c r="F143" i="29" s="1"/>
  <c r="E95" i="29"/>
  <c r="F95" i="29" s="1"/>
  <c r="C95" i="29"/>
  <c r="D95" i="29" s="1"/>
  <c r="D104" i="29" s="1"/>
  <c r="G34" i="29"/>
  <c r="E71" i="29" s="1"/>
  <c r="E153" i="29"/>
  <c r="F153" i="29" s="1"/>
  <c r="K26" i="29"/>
  <c r="L26" i="29"/>
  <c r="L27" i="28"/>
  <c r="M26" i="28"/>
  <c r="H100" i="28"/>
  <c r="G126" i="27"/>
  <c r="H126" i="27" s="1"/>
  <c r="L34" i="28"/>
  <c r="L67" i="28" s="1"/>
  <c r="L36" i="28"/>
  <c r="L42" i="28" s="1"/>
  <c r="G140" i="33"/>
  <c r="H140" i="33" s="1"/>
  <c r="G125" i="27"/>
  <c r="H125" i="27" s="1"/>
  <c r="H174" i="27"/>
  <c r="M42" i="27"/>
  <c r="M49" i="27" s="1"/>
  <c r="M40" i="27"/>
  <c r="M41" i="27"/>
  <c r="M48" i="27" s="1"/>
  <c r="M39" i="27"/>
  <c r="J125" i="27"/>
  <c r="G157" i="28"/>
  <c r="H157" i="28" s="1"/>
  <c r="H103" i="33"/>
  <c r="L35" i="28"/>
  <c r="G141" i="33"/>
  <c r="H141" i="33" s="1"/>
  <c r="E108" i="33"/>
  <c r="F108" i="33" s="1"/>
  <c r="L36" i="29"/>
  <c r="G138" i="33"/>
  <c r="D138" i="33"/>
  <c r="F138" i="33"/>
  <c r="E138" i="33"/>
  <c r="E77" i="28"/>
  <c r="G158" i="28"/>
  <c r="H158" i="28" s="1"/>
  <c r="E110" i="28"/>
  <c r="F110" i="28" s="1"/>
  <c r="C150" i="28"/>
  <c r="H150" i="28" s="1"/>
  <c r="G33" i="28"/>
  <c r="D150" i="28"/>
  <c r="D100" i="28"/>
  <c r="J29" i="33"/>
  <c r="D98" i="33"/>
  <c r="G32" i="33"/>
  <c r="E75" i="33" s="1"/>
  <c r="L35" i="33"/>
  <c r="L35" i="29"/>
  <c r="L65" i="29" s="1"/>
  <c r="D150" i="29"/>
  <c r="E150" i="29"/>
  <c r="F150" i="29"/>
  <c r="C137" i="33"/>
  <c r="F111" i="28"/>
  <c r="D155" i="28"/>
  <c r="D120" i="27"/>
  <c r="E155" i="28"/>
  <c r="H155" i="28"/>
  <c r="G155" i="28"/>
  <c r="H109" i="33"/>
  <c r="G174" i="27"/>
  <c r="E174" i="27"/>
  <c r="I174" i="27"/>
  <c r="D174" i="27"/>
  <c r="F174" i="27"/>
  <c r="E152" i="29"/>
  <c r="F152" i="29" s="1"/>
  <c r="E107" i="29"/>
  <c r="F107" i="29" s="1"/>
  <c r="E92" i="27"/>
  <c r="E72" i="29"/>
  <c r="L34" i="33"/>
  <c r="E76" i="33"/>
  <c r="L33" i="33"/>
  <c r="E103" i="33"/>
  <c r="F103" i="33"/>
  <c r="D169" i="27"/>
  <c r="D115" i="27"/>
  <c r="G103" i="33"/>
  <c r="D136" i="33"/>
  <c r="C98" i="33"/>
  <c r="E109" i="33"/>
  <c r="E141" i="33"/>
  <c r="D109" i="33"/>
  <c r="E120" i="27" l="1"/>
  <c r="F132" i="27"/>
  <c r="K31" i="27"/>
  <c r="G40" i="27"/>
  <c r="J80" i="27" s="1"/>
  <c r="G41" i="27"/>
  <c r="G46" i="27" s="1"/>
  <c r="G53" i="27" s="1"/>
  <c r="G42" i="27"/>
  <c r="J84" i="27" s="1"/>
  <c r="G37" i="29"/>
  <c r="J65" i="29" s="1"/>
  <c r="C117" i="28"/>
  <c r="D117" i="28"/>
  <c r="L71" i="28"/>
  <c r="L40" i="29"/>
  <c r="H114" i="29"/>
  <c r="L37" i="29"/>
  <c r="M37" i="29" s="1"/>
  <c r="J114" i="29"/>
  <c r="L83" i="27"/>
  <c r="L66" i="29"/>
  <c r="K84" i="27"/>
  <c r="L85" i="27"/>
  <c r="L86" i="27"/>
  <c r="L40" i="28"/>
  <c r="L72" i="28"/>
  <c r="L68" i="28"/>
  <c r="J117" i="28"/>
  <c r="L71" i="33"/>
  <c r="G35" i="33"/>
  <c r="J69" i="33" s="1"/>
  <c r="G34" i="33"/>
  <c r="J67" i="33" s="1"/>
  <c r="K69" i="28"/>
  <c r="H174" i="28"/>
  <c r="L41" i="28"/>
  <c r="E76" i="28"/>
  <c r="G36" i="28"/>
  <c r="G35" i="28"/>
  <c r="F100" i="28"/>
  <c r="J122" i="28" s="1"/>
  <c r="E100" i="28"/>
  <c r="G100" i="28"/>
  <c r="E150" i="28"/>
  <c r="F150" i="28"/>
  <c r="G150" i="28"/>
  <c r="E174" i="28" s="1"/>
  <c r="G174" i="28"/>
  <c r="F174" i="28"/>
  <c r="L37" i="28"/>
  <c r="M37" i="28" s="1"/>
  <c r="K70" i="28"/>
  <c r="C164" i="28"/>
  <c r="G98" i="33"/>
  <c r="E98" i="33"/>
  <c r="F98" i="33"/>
  <c r="L70" i="33"/>
  <c r="L41" i="33"/>
  <c r="L64" i="29"/>
  <c r="G114" i="29"/>
  <c r="E136" i="33"/>
  <c r="F136" i="33"/>
  <c r="G136" i="33"/>
  <c r="L79" i="27"/>
  <c r="M43" i="27"/>
  <c r="N43" i="27" s="1"/>
  <c r="M46" i="27"/>
  <c r="L80" i="27"/>
  <c r="K69" i="33"/>
  <c r="K68" i="33"/>
  <c r="L40" i="33"/>
  <c r="G117" i="28"/>
  <c r="D107" i="28"/>
  <c r="H117" i="28"/>
  <c r="F198" i="27"/>
  <c r="G198" i="27"/>
  <c r="H198" i="27"/>
  <c r="F109" i="33"/>
  <c r="L41" i="29"/>
  <c r="L67" i="29"/>
  <c r="F117" i="28"/>
  <c r="C107" i="28"/>
  <c r="C108" i="28" s="1"/>
  <c r="D137" i="33"/>
  <c r="H137" i="33"/>
  <c r="F137" i="33"/>
  <c r="G137" i="33"/>
  <c r="E137" i="33"/>
  <c r="E169" i="27"/>
  <c r="H169" i="27"/>
  <c r="G169" i="27"/>
  <c r="C193" i="27" s="1"/>
  <c r="I169" i="27"/>
  <c r="E198" i="27" s="1"/>
  <c r="F169" i="27"/>
  <c r="F141" i="33"/>
  <c r="K81" i="27"/>
  <c r="M47" i="27"/>
  <c r="K82" i="27"/>
  <c r="F114" i="29"/>
  <c r="D114" i="29"/>
  <c r="C104" i="29"/>
  <c r="C105" i="29" s="1"/>
  <c r="C114" i="29"/>
  <c r="H98" i="33"/>
  <c r="F115" i="27"/>
  <c r="H115" i="27"/>
  <c r="E115" i="27"/>
  <c r="I115" i="27"/>
  <c r="G115" i="27"/>
  <c r="L39" i="33"/>
  <c r="L66" i="33"/>
  <c r="L36" i="33"/>
  <c r="M36" i="33" s="1"/>
  <c r="L67" i="33"/>
  <c r="F120" i="27" l="1"/>
  <c r="H199" i="27"/>
  <c r="J83" i="27"/>
  <c r="L81" i="27"/>
  <c r="G45" i="27"/>
  <c r="G50" i="27" s="1"/>
  <c r="M52" i="27" s="1"/>
  <c r="M58" i="27" s="1"/>
  <c r="K79" i="27" s="1"/>
  <c r="M79" i="27" s="1"/>
  <c r="G52" i="27"/>
  <c r="J82" i="27"/>
  <c r="J66" i="29"/>
  <c r="G47" i="27"/>
  <c r="G55" i="27" s="1"/>
  <c r="M55" i="27" s="1"/>
  <c r="M61" i="27" s="1"/>
  <c r="K86" i="27" s="1"/>
  <c r="M86" i="27" s="1"/>
  <c r="J85" i="27"/>
  <c r="G40" i="29"/>
  <c r="G43" i="29" s="1"/>
  <c r="L44" i="29" s="1"/>
  <c r="L48" i="29" s="1"/>
  <c r="E117" i="28"/>
  <c r="F118" i="28" s="1"/>
  <c r="H175" i="28"/>
  <c r="D198" i="27"/>
  <c r="C198" i="27"/>
  <c r="D193" i="27"/>
  <c r="J125" i="33"/>
  <c r="L68" i="33"/>
  <c r="G38" i="33"/>
  <c r="G43" i="33" s="1"/>
  <c r="E73" i="33"/>
  <c r="G76" i="33" s="1"/>
  <c r="G39" i="33"/>
  <c r="J70" i="33"/>
  <c r="J68" i="28"/>
  <c r="L69" i="28"/>
  <c r="G39" i="28"/>
  <c r="J70" i="28"/>
  <c r="G40" i="28"/>
  <c r="J71" i="28"/>
  <c r="D174" i="28"/>
  <c r="C174" i="28"/>
  <c r="J127" i="28"/>
  <c r="H107" i="28"/>
  <c r="H127" i="28"/>
  <c r="G107" i="28"/>
  <c r="G108" i="28" s="1"/>
  <c r="D127" i="28"/>
  <c r="C127" i="28"/>
  <c r="F127" i="28"/>
  <c r="G127" i="28"/>
  <c r="H164" i="28"/>
  <c r="F164" i="28"/>
  <c r="G164" i="28"/>
  <c r="E164" i="28"/>
  <c r="D164" i="28"/>
  <c r="H157" i="33"/>
  <c r="G42" i="33"/>
  <c r="L44" i="33" s="1"/>
  <c r="L49" i="33" s="1"/>
  <c r="G193" i="27"/>
  <c r="H193" i="27"/>
  <c r="F193" i="27"/>
  <c r="F142" i="27"/>
  <c r="C142" i="27"/>
  <c r="G122" i="27"/>
  <c r="E159" i="29"/>
  <c r="C159" i="29"/>
  <c r="D159" i="29"/>
  <c r="E169" i="28"/>
  <c r="D169" i="28"/>
  <c r="C169" i="28"/>
  <c r="G147" i="27"/>
  <c r="J122" i="27"/>
  <c r="J147" i="27"/>
  <c r="D122" i="28"/>
  <c r="C122" i="28"/>
  <c r="E107" i="28"/>
  <c r="E108" i="28" s="1"/>
  <c r="F122" i="28"/>
  <c r="G105" i="33"/>
  <c r="G106" i="33" s="1"/>
  <c r="H106" i="33" s="1"/>
  <c r="D125" i="33"/>
  <c r="C125" i="33"/>
  <c r="F125" i="33"/>
  <c r="J120" i="33"/>
  <c r="E193" i="27"/>
  <c r="F169" i="28"/>
  <c r="G169" i="28"/>
  <c r="H169" i="28"/>
  <c r="C147" i="27"/>
  <c r="I122" i="27"/>
  <c r="F147" i="27"/>
  <c r="C157" i="33"/>
  <c r="D157" i="33"/>
  <c r="E157" i="33"/>
  <c r="H122" i="27"/>
  <c r="G142" i="27"/>
  <c r="J142" i="27"/>
  <c r="F107" i="28"/>
  <c r="H122" i="28"/>
  <c r="G122" i="28"/>
  <c r="H125" i="33"/>
  <c r="G125" i="33"/>
  <c r="H105" i="33"/>
  <c r="H159" i="29"/>
  <c r="G159" i="29"/>
  <c r="F159" i="29"/>
  <c r="G120" i="27" l="1"/>
  <c r="E158" i="33"/>
  <c r="E194" i="27"/>
  <c r="H194" i="27"/>
  <c r="E199" i="27"/>
  <c r="I123" i="27"/>
  <c r="J123" i="27" s="1"/>
  <c r="I147" i="27" s="1"/>
  <c r="G123" i="27"/>
  <c r="H123" i="27" s="1"/>
  <c r="I142" i="27" s="1"/>
  <c r="G51" i="27"/>
  <c r="M53" i="27" s="1"/>
  <c r="M59" i="27" s="1"/>
  <c r="L82" i="27" s="1"/>
  <c r="M82" i="27" s="1"/>
  <c r="G54" i="27"/>
  <c r="M54" i="27" s="1"/>
  <c r="M60" i="27" s="1"/>
  <c r="K83" i="27" s="1"/>
  <c r="M83" i="27" s="1"/>
  <c r="K85" i="27"/>
  <c r="M85" i="27" s="1"/>
  <c r="G44" i="29"/>
  <c r="L45" i="29" s="1"/>
  <c r="E160" i="29"/>
  <c r="H160" i="29"/>
  <c r="H108" i="28"/>
  <c r="I127" i="28" s="1"/>
  <c r="J128" i="28" s="1"/>
  <c r="F108" i="28"/>
  <c r="I122" i="28" s="1"/>
  <c r="J123" i="28" s="1"/>
  <c r="H170" i="28"/>
  <c r="E175" i="28"/>
  <c r="E170" i="28"/>
  <c r="E165" i="28"/>
  <c r="H165" i="28"/>
  <c r="K80" i="27"/>
  <c r="M80" i="27" s="1"/>
  <c r="G44" i="33"/>
  <c r="L45" i="33" s="1"/>
  <c r="L50" i="33" s="1"/>
  <c r="G45" i="33"/>
  <c r="L46" i="33" s="1"/>
  <c r="L51" i="33" s="1"/>
  <c r="K71" i="33" s="1"/>
  <c r="M71" i="33" s="1"/>
  <c r="D108" i="28"/>
  <c r="I117" i="28" s="1"/>
  <c r="J118" i="28" s="1"/>
  <c r="G43" i="28"/>
  <c r="G44" i="28"/>
  <c r="G45" i="28"/>
  <c r="G46" i="28"/>
  <c r="L47" i="28" s="1"/>
  <c r="L52" i="28" s="1"/>
  <c r="K66" i="33"/>
  <c r="M66" i="33" s="1"/>
  <c r="K67" i="33"/>
  <c r="M67" i="33" s="1"/>
  <c r="F157" i="33"/>
  <c r="G157" i="33"/>
  <c r="D105" i="29"/>
  <c r="I114" i="29" s="1"/>
  <c r="J115" i="29" s="1"/>
  <c r="E114" i="29"/>
  <c r="F115" i="29" s="1"/>
  <c r="C188" i="27"/>
  <c r="D188" i="27"/>
  <c r="E188" i="27"/>
  <c r="D105" i="33"/>
  <c r="G115" i="33"/>
  <c r="H115" i="33"/>
  <c r="J115" i="33"/>
  <c r="D119" i="29"/>
  <c r="F119" i="29"/>
  <c r="C119" i="29"/>
  <c r="E104" i="29"/>
  <c r="C122" i="27"/>
  <c r="D132" i="27"/>
  <c r="C132" i="27"/>
  <c r="G137" i="27"/>
  <c r="H137" i="27"/>
  <c r="F122" i="27"/>
  <c r="J137" i="27"/>
  <c r="D115" i="33"/>
  <c r="C115" i="33"/>
  <c r="C105" i="33"/>
  <c r="C106" i="33" s="1"/>
  <c r="D106" i="33" s="1"/>
  <c r="F115" i="33"/>
  <c r="F183" i="27"/>
  <c r="G183" i="27"/>
  <c r="H183" i="27"/>
  <c r="H164" i="29"/>
  <c r="G164" i="29"/>
  <c r="F164" i="29"/>
  <c r="G188" i="27"/>
  <c r="F188" i="27"/>
  <c r="H188" i="27"/>
  <c r="G147" i="33"/>
  <c r="F147" i="33"/>
  <c r="H147" i="33"/>
  <c r="K64" i="29"/>
  <c r="M64" i="29" s="1"/>
  <c r="K65" i="29"/>
  <c r="M65" i="29" s="1"/>
  <c r="G132" i="27"/>
  <c r="H132" i="27"/>
  <c r="J132" i="27"/>
  <c r="D122" i="27"/>
  <c r="G152" i="33"/>
  <c r="F152" i="33"/>
  <c r="C183" i="27"/>
  <c r="D183" i="27"/>
  <c r="E183" i="27"/>
  <c r="E164" i="29"/>
  <c r="D164" i="29"/>
  <c r="C164" i="29"/>
  <c r="I125" i="33"/>
  <c r="J126" i="33" s="1"/>
  <c r="E125" i="33"/>
  <c r="F126" i="33" s="1"/>
  <c r="C147" i="33"/>
  <c r="E147" i="33"/>
  <c r="D147" i="33"/>
  <c r="G120" i="33"/>
  <c r="F105" i="33"/>
  <c r="H120" i="33"/>
  <c r="C152" i="33"/>
  <c r="D152" i="33"/>
  <c r="E152" i="33"/>
  <c r="H152" i="33"/>
  <c r="H119" i="29"/>
  <c r="F104" i="29"/>
  <c r="G119" i="29"/>
  <c r="J119" i="29"/>
  <c r="C120" i="33"/>
  <c r="E105" i="33"/>
  <c r="E106" i="33" s="1"/>
  <c r="F106" i="33" s="1"/>
  <c r="D120" i="33"/>
  <c r="F120" i="33"/>
  <c r="F137" i="27"/>
  <c r="D137" i="27"/>
  <c r="E122" i="27"/>
  <c r="C137" i="27"/>
  <c r="H158" i="33" l="1"/>
  <c r="E148" i="33"/>
  <c r="H148" i="33"/>
  <c r="C123" i="27"/>
  <c r="E132" i="27" s="1"/>
  <c r="F133" i="27" s="1"/>
  <c r="E123" i="27"/>
  <c r="F123" i="27" s="1"/>
  <c r="I137" i="27" s="1"/>
  <c r="J138" i="27" s="1"/>
  <c r="H120" i="27"/>
  <c r="D142" i="27"/>
  <c r="H153" i="33"/>
  <c r="E153" i="33"/>
  <c r="J168" i="28"/>
  <c r="E184" i="27"/>
  <c r="H184" i="27"/>
  <c r="E189" i="27"/>
  <c r="H189" i="27"/>
  <c r="E142" i="27"/>
  <c r="E147" i="27"/>
  <c r="L49" i="29"/>
  <c r="K67" i="29" s="1"/>
  <c r="M67" i="29" s="1"/>
  <c r="E70" i="29"/>
  <c r="L84" i="27"/>
  <c r="M84" i="27" s="1"/>
  <c r="E90" i="27"/>
  <c r="E89" i="27"/>
  <c r="J81" i="27"/>
  <c r="M81" i="27" s="1"/>
  <c r="E165" i="29"/>
  <c r="H165" i="29"/>
  <c r="E105" i="29"/>
  <c r="F105" i="29" s="1"/>
  <c r="I119" i="29" s="1"/>
  <c r="J120" i="29" s="1"/>
  <c r="E122" i="28"/>
  <c r="F123" i="28" s="1"/>
  <c r="E127" i="28"/>
  <c r="F128" i="28" s="1"/>
  <c r="K70" i="33"/>
  <c r="M70" i="33" s="1"/>
  <c r="E74" i="33"/>
  <c r="J68" i="33"/>
  <c r="M68" i="33" s="1"/>
  <c r="L69" i="33"/>
  <c r="M69" i="33" s="1"/>
  <c r="K72" i="28"/>
  <c r="M72" i="28" s="1"/>
  <c r="K71" i="28"/>
  <c r="M71" i="28" s="1"/>
  <c r="L46" i="28"/>
  <c r="L51" i="28" s="1"/>
  <c r="E75" i="28"/>
  <c r="L45" i="28"/>
  <c r="L50" i="28" s="1"/>
  <c r="I115" i="33"/>
  <c r="J116" i="33" s="1"/>
  <c r="E115" i="33"/>
  <c r="F116" i="33" s="1"/>
  <c r="I120" i="33"/>
  <c r="J121" i="33" s="1"/>
  <c r="E120" i="33"/>
  <c r="F121" i="33" s="1"/>
  <c r="E137" i="27" l="1"/>
  <c r="F138" i="27" s="1"/>
  <c r="D123" i="27"/>
  <c r="I132" i="27" s="1"/>
  <c r="J133" i="27" s="1"/>
  <c r="L139" i="27" s="1"/>
  <c r="F143" i="27"/>
  <c r="M74" i="28"/>
  <c r="J169" i="28"/>
  <c r="L122" i="33"/>
  <c r="L123" i="33" s="1"/>
  <c r="J151" i="33"/>
  <c r="I120" i="27"/>
  <c r="H142" i="27"/>
  <c r="J143" i="27" s="1"/>
  <c r="K66" i="29"/>
  <c r="M66" i="29" s="1"/>
  <c r="B94" i="27"/>
  <c r="F89" i="27" s="1"/>
  <c r="L124" i="28"/>
  <c r="L125" i="28" s="1"/>
  <c r="J160" i="29"/>
  <c r="J190" i="27"/>
  <c r="J191" i="27" s="1"/>
  <c r="E69" i="29"/>
  <c r="E119" i="29"/>
  <c r="J69" i="28"/>
  <c r="M69" i="28" s="1"/>
  <c r="L70" i="28"/>
  <c r="M70" i="28" s="1"/>
  <c r="K68" i="28"/>
  <c r="M68" i="28" s="1"/>
  <c r="E74" i="28"/>
  <c r="B79" i="28" s="1"/>
  <c r="K67" i="28"/>
  <c r="M67" i="28" s="1"/>
  <c r="I89" i="27" l="1"/>
  <c r="L140" i="27"/>
  <c r="I90" i="27" s="1"/>
  <c r="J152" i="33"/>
  <c r="M74" i="33" s="1"/>
  <c r="M69" i="29"/>
  <c r="J161" i="29"/>
  <c r="M70" i="29" s="1"/>
  <c r="I74" i="28"/>
  <c r="I75" i="28"/>
  <c r="I73" i="33"/>
  <c r="J120" i="27"/>
  <c r="H147" i="27" s="1"/>
  <c r="J148" i="27" s="1"/>
  <c r="D147" i="27"/>
  <c r="F148" i="27" s="1"/>
  <c r="B74" i="29"/>
  <c r="F69" i="29" s="1"/>
  <c r="F120" i="29"/>
  <c r="F74" i="28"/>
  <c r="M89" i="27"/>
  <c r="M75" i="28"/>
  <c r="M90" i="27"/>
  <c r="I74" i="33"/>
  <c r="M73" i="33"/>
  <c r="L116" i="29" l="1"/>
  <c r="I69" i="29" l="1"/>
  <c r="L117" i="29"/>
  <c r="I70"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Catherine Scarince</author>
  </authors>
  <commentList>
    <comment ref="J24" authorId="0" shapeId="0" xr:uid="{635CE673-E10E-4419-A1B1-7C1874E59C89}">
      <text>
        <r>
          <rPr>
            <sz val="9"/>
            <color indexed="81"/>
            <rFont val="Tahoma"/>
            <family val="2"/>
          </rPr>
          <t>Adjustment factor method per: 
2008 SDPWS Section 4.3.4 
2015 SDPWS Section 4.3.3.4.1 or 4.3.4.2
2021 SDPWS Section 4.3.3.2 or 4.3.5.5.1</t>
        </r>
      </text>
    </comment>
    <comment ref="F85" authorId="0" shapeId="0" xr:uid="{C7874A8F-72DD-4E97-ABC5-6866794EDE8D}">
      <text>
        <r>
          <rPr>
            <sz val="9"/>
            <color indexed="81"/>
            <rFont val="Tahoma"/>
            <family val="2"/>
          </rPr>
          <t>Input modulus of elasticity (E) for the wood species utilized in the wall framing studs as referenced in 2018 Design Values For Wood Construction - NDS Supplement Table 4A, given in pounds per square inch (psi).</t>
        </r>
      </text>
    </comment>
    <comment ref="J87" authorId="0" shapeId="0" xr:uid="{79FCFF4F-97F2-431E-A405-3FD76707F203}">
      <text>
        <r>
          <rPr>
            <sz val="9"/>
            <color indexed="81"/>
            <rFont val="Tahoma"/>
            <family val="2"/>
          </rPr>
          <t>Input hold down capacity value given in pounds (lb) as published by hold down manufacturer.</t>
        </r>
      </text>
    </comment>
    <comment ref="B88" authorId="0" shapeId="0" xr:uid="{DB065C93-9F66-4976-9F11-A02924C4421F}">
      <text>
        <r>
          <rPr>
            <sz val="9"/>
            <color indexed="81"/>
            <rFont val="Tahoma"/>
            <family val="2"/>
          </rPr>
          <t>"Gt Override and Ga Override" are to be used in case of unique circumstances where specialty sheathing materials are to be used. These overrides can also be used to increase plywood values for specific panel construction types, i.e. specifying ply counts.</t>
        </r>
      </text>
    </comment>
    <comment ref="J88" authorId="0" shapeId="0" xr:uid="{57F180F6-E2BA-4BCD-AB5D-D562F8FBA8B3}">
      <text>
        <r>
          <rPr>
            <sz val="9"/>
            <color indexed="81"/>
            <rFont val="Tahoma"/>
            <family val="2"/>
          </rPr>
          <t>Input deflection of hold down under load from maximum HD capacity given in inches (in) as published by hold down manufacturer.</t>
        </r>
      </text>
    </comment>
    <comment ref="B89" authorId="0" shapeId="0" xr:uid="{870FC331-881C-47D8-B994-1247C51F62DE}">
      <text>
        <r>
          <rPr>
            <sz val="9"/>
            <color indexed="81"/>
            <rFont val="Tahoma"/>
            <family val="2"/>
          </rPr>
          <t xml:space="preserve">"Gt Override and Ga Override" are to be used in case of unique circumstances where specialty sheathing materials are to be used. These overrides can also be used to increase plywood values for specific panel construction types, i.e. specifying ply counts. </t>
        </r>
      </text>
    </comment>
    <comment ref="F89" authorId="0" shapeId="0" xr:uid="{A4B1E19B-2555-415A-8966-76C75BBF7C98}">
      <text>
        <r>
          <rPr>
            <sz val="9"/>
            <color indexed="81"/>
            <rFont val="Tahoma"/>
            <family val="2"/>
          </rPr>
          <t>Deflection Amplification Factor (Cd) is specific to seismic design, per Table 12.2-1 of ASCE7. Leave blank if designing for a wind load.
Cd = 4.0 for bearing wall systems
Cd = 4.5 for building frame systems</t>
        </r>
      </text>
    </comment>
    <comment ref="B101" authorId="0" shapeId="0" xr:uid="{C7FA35D5-4CC7-4C14-A39C-6B3E0FA82E2D}">
      <text>
        <r>
          <rPr>
            <sz val="9"/>
            <color indexed="81"/>
            <rFont val="Tahoma"/>
            <family val="2"/>
          </rPr>
          <t xml:space="preserve">"A Override" is to be used in case of unique circumstances where the nominal size of the framing members used for the shear wall end post is composed of members not listed in the "Stud Size" drop down table.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Catherine Scarince</author>
  </authors>
  <commentList>
    <comment ref="I24" authorId="0" shapeId="0" xr:uid="{36B467FD-A2B6-4F19-B7AC-4DF40A88DBBC}">
      <text>
        <r>
          <rPr>
            <sz val="9"/>
            <color indexed="81"/>
            <rFont val="Tahoma"/>
            <family val="2"/>
          </rPr>
          <t>Adjustment factor method per: 
2008 SDPWS Section 4.3.4 
2015 SDPWS Section 4.3.3.4.1 or 4.3.4.2
2021 SDPWS Section 4.3.3.2 or 4.3.5.5.1</t>
        </r>
      </text>
    </comment>
    <comment ref="F83" authorId="0" shapeId="0" xr:uid="{389A9572-2BA5-43A1-9FAC-1B7EE85CB946}">
      <text>
        <r>
          <rPr>
            <sz val="9"/>
            <color indexed="81"/>
            <rFont val="Tahoma"/>
            <family val="2"/>
          </rPr>
          <t>Input modulus of elasticity (E) for the wood species utilized in the wall framing studs as referenced in 2018 Design Values For Wood Construction - NDS Supplement Table 4A, given in pounds per square inch (psi).</t>
        </r>
      </text>
    </comment>
    <comment ref="J85" authorId="0" shapeId="0" xr:uid="{11EA3A2A-C449-4320-B7CA-03004E6A74CC}">
      <text>
        <r>
          <rPr>
            <sz val="9"/>
            <color indexed="81"/>
            <rFont val="Tahoma"/>
            <family val="2"/>
          </rPr>
          <t>Input hold down capacity value given in pounds (lb) as published by hold down manufacturer.</t>
        </r>
      </text>
    </comment>
    <comment ref="B86" authorId="0" shapeId="0" xr:uid="{289A905F-8960-4E27-91FD-152A39C822D2}">
      <text>
        <r>
          <rPr>
            <sz val="9"/>
            <color indexed="81"/>
            <rFont val="Tahoma"/>
            <family val="2"/>
          </rPr>
          <t>"Gt Override and Ga Override" are to be used in case of unique circumstances where specialty sheathing materials are to be used. These overrides can also be used to increase plywood values for specific panel construction types, i.e. specifying ply counts.</t>
        </r>
      </text>
    </comment>
    <comment ref="J86" authorId="0" shapeId="0" xr:uid="{52232F46-4086-45F1-A203-F100B0CF2DB7}">
      <text>
        <r>
          <rPr>
            <sz val="9"/>
            <color indexed="81"/>
            <rFont val="Tahoma"/>
            <family val="2"/>
          </rPr>
          <t>Input deflection of hold down under load from maximum HD capacity given in inches (in) as published by hold down manufacturer.</t>
        </r>
      </text>
    </comment>
    <comment ref="B87" authorId="0" shapeId="0" xr:uid="{327CE583-7BE7-47D8-B20E-4ACA39033BEF}">
      <text>
        <r>
          <rPr>
            <sz val="9"/>
            <color indexed="81"/>
            <rFont val="Tahoma"/>
            <family val="2"/>
          </rPr>
          <t xml:space="preserve">"Gt Override and Ga Override" are to be used in case of unique circumstances where specialty sheathing materials are to be used. These overrides can also be used to increase plywood values for specific panel construction types, i.e. specifying ply counts.
</t>
        </r>
      </text>
    </comment>
    <comment ref="F87" authorId="0" shapeId="0" xr:uid="{0D91DAD0-B626-48C5-B220-F5F436C31363}">
      <text>
        <r>
          <rPr>
            <sz val="9"/>
            <color indexed="81"/>
            <rFont val="Tahoma"/>
            <family val="2"/>
          </rPr>
          <t>Deflection Amplification Factor (Cd) is specific to seismic design, per Table 12.2-1 of ASCE7. Leave blank if designing for a wind load.
Cd = 4.0 for bearing wall systems
Cd = 4.5 for building frame systems</t>
        </r>
      </text>
    </comment>
    <comment ref="B100" authorId="0" shapeId="0" xr:uid="{8C45C17F-43FD-4CE4-997B-D773616CAB67}">
      <text>
        <r>
          <rPr>
            <sz val="9"/>
            <color indexed="81"/>
            <rFont val="Tahoma"/>
            <family val="2"/>
          </rPr>
          <t xml:space="preserve">"A Override" is to be used in case of unique circumstances where the nominal size of the framing members used for the shear wall end post is composed of members not listed in the "Stud Size" drop down table.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Catherine Scarince</author>
    <author>Jared S. Hensley</author>
  </authors>
  <commentList>
    <comment ref="J24" authorId="0" shapeId="0" xr:uid="{6DA737A9-A5CC-49DC-A78D-5219D8F9E16A}">
      <text>
        <r>
          <rPr>
            <sz val="9"/>
            <color indexed="81"/>
            <rFont val="Tahoma"/>
            <family val="2"/>
          </rPr>
          <t>Adjustment factor method per: 
2008 SDPWS Section 4.3.4 
2015 SDPWS Section 4.3.3.4.1 or 4.3.4.2
2021 SDPWS Section 4.3.3.2 or 4.3.5.5.1</t>
        </r>
      </text>
    </comment>
    <comment ref="F87" authorId="0" shapeId="0" xr:uid="{841EDF5E-B478-4AAC-89E8-A08B6A4EDBB3}">
      <text>
        <r>
          <rPr>
            <sz val="9"/>
            <color indexed="81"/>
            <rFont val="Tahoma"/>
            <family val="2"/>
          </rPr>
          <t>Input modulus of elasticity (E) for the wood species utilized in the wall framing studs as referenced in 2018 Design Values For Wood Construction - NDS Supplement Table 4A, given in pounds per square inch (psi).</t>
        </r>
      </text>
    </comment>
    <comment ref="J89" authorId="0" shapeId="0" xr:uid="{B2580E47-CB27-4C6F-9269-2D51AD594F03}">
      <text>
        <r>
          <rPr>
            <sz val="9"/>
            <color indexed="81"/>
            <rFont val="Tahoma"/>
            <family val="2"/>
          </rPr>
          <t>Input hold down capacity value given in pounds (lb) as published by hold down manufacturer.</t>
        </r>
      </text>
    </comment>
    <comment ref="B90" authorId="1" shapeId="0" xr:uid="{00000000-0006-0000-0300-000004000000}">
      <text>
        <r>
          <rPr>
            <sz val="9"/>
            <color indexed="81"/>
            <rFont val="Tahoma"/>
            <family val="2"/>
          </rPr>
          <t xml:space="preserve">"Gt Override and Ga Override" are to be used in case of unique circumstances where specialty sheathing materials are to be used. These overrides can also be used to increase plywood values for specific panel construction types, i.e. specifying ply counts. </t>
        </r>
      </text>
    </comment>
    <comment ref="J90" authorId="0" shapeId="0" xr:uid="{E53CA719-9140-4ECC-A9F4-7CFBE6C31879}">
      <text>
        <r>
          <rPr>
            <sz val="9"/>
            <color indexed="81"/>
            <rFont val="Tahoma"/>
            <family val="2"/>
          </rPr>
          <t>Input deflection of hold down under load from maximum HD capacity given in inches (in) as published by hold down manufacturer.</t>
        </r>
      </text>
    </comment>
    <comment ref="B91" authorId="0" shapeId="0" xr:uid="{8725095A-61A2-4922-9D90-05E7D623D1C7}">
      <text>
        <r>
          <rPr>
            <sz val="9"/>
            <color indexed="81"/>
            <rFont val="Tahoma"/>
            <family val="2"/>
          </rPr>
          <t xml:space="preserve">"Gt Override and Ga Override" are to be used in case of unique circumstances where specialty sheathing materials are to be used. These overrides can also be used to increase plywood values for specific panel construction types, i.e. specifying ply counts. </t>
        </r>
      </text>
    </comment>
    <comment ref="F91" authorId="0" shapeId="0" xr:uid="{69C048BE-40C7-41F1-8B06-0D97A7B96657}">
      <text>
        <r>
          <rPr>
            <sz val="9"/>
            <color indexed="81"/>
            <rFont val="Tahoma"/>
            <family val="2"/>
          </rPr>
          <t>Deflection Amplification Factor (Cd) is specific to seismic design, per Table 12.2-1 of ASCE7. Leave blank if designing for a wind load.
Cd = 4.0 for bearing wall systems
Cd = 4.5 for building frame systems</t>
        </r>
      </text>
    </comment>
    <comment ref="B103" authorId="0" shapeId="0" xr:uid="{2540E3AD-01E2-46E0-8C9C-C5627468319A}">
      <text>
        <r>
          <rPr>
            <sz val="9"/>
            <color indexed="81"/>
            <rFont val="Tahoma"/>
            <family val="2"/>
          </rPr>
          <t xml:space="preserve">"A Override" is to be used in case of unique circumstances where the nominal size of the framing members used for the shear wall end post is composed of members not listed in the "Stud Size" drop down table.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Catherine Scarince</author>
  </authors>
  <commentList>
    <comment ref="K24" authorId="0" shapeId="0" xr:uid="{F99D7178-335F-4139-AC84-340E10602314}">
      <text>
        <r>
          <rPr>
            <sz val="9"/>
            <color indexed="81"/>
            <rFont val="Tahoma"/>
            <family val="2"/>
          </rPr>
          <t>Adjustment factor method per: 
2008 SDPWS Section 4.3.4 
2015 SDPWS Section 4.3.3.4.1 or 4.3.4.2
2021 SDPWS Section 4.3.3.2 or 4.3.5.5.1</t>
        </r>
      </text>
    </comment>
    <comment ref="G102" authorId="0" shapeId="0" xr:uid="{9CFEBB9E-91CD-412F-95DE-570374FE9D33}">
      <text>
        <r>
          <rPr>
            <sz val="9"/>
            <color indexed="81"/>
            <rFont val="Tahoma"/>
            <family val="2"/>
          </rPr>
          <t>Input modulus of elasticity (E) for the wood species utilized in the wall framing studs as referenced in 2018 Design Values For Wood Construction - NDS Supplement Table 4A, given in pounds per square inch (psi).</t>
        </r>
      </text>
    </comment>
    <comment ref="C105" authorId="0" shapeId="0" xr:uid="{C9FA84B9-5F19-46F4-A900-40A371A86910}">
      <text>
        <r>
          <rPr>
            <sz val="9"/>
            <color indexed="81"/>
            <rFont val="Tahoma"/>
            <family val="2"/>
          </rPr>
          <t xml:space="preserve">"Gt Override and Ga Override" are to be used in case of unique circumstances where specialty sheathing materials are to be used. These overrides can also be used to increase plywood values for specific panel construction types, i.e. specifying ply counts. </t>
        </r>
      </text>
    </comment>
    <comment ref="K105" authorId="0" shapeId="0" xr:uid="{901A3F18-9BE3-4C44-9D7C-39CA0C358BD5}">
      <text>
        <r>
          <rPr>
            <sz val="9"/>
            <color indexed="81"/>
            <rFont val="Tahoma"/>
            <family val="2"/>
          </rPr>
          <t>Input hold down capacity value given in pounds (lb) as published by hold down manufacturer.</t>
        </r>
      </text>
    </comment>
    <comment ref="C106" authorId="0" shapeId="0" xr:uid="{2518883F-8A95-4A3B-9680-6446C50B46B6}">
      <text>
        <r>
          <rPr>
            <sz val="9"/>
            <color indexed="81"/>
            <rFont val="Tahoma"/>
            <family val="2"/>
          </rPr>
          <t xml:space="preserve">"Gt Override and Ga Override" are to be used in case of unique circumstances where specialty sheathing materials are to be used. These overrides can also be used to increase plywood values for specific panel construction types, i.e. specifying ply counts. </t>
        </r>
      </text>
    </comment>
    <comment ref="G106" authorId="0" shapeId="0" xr:uid="{C6D48457-9667-4926-8235-8BD7695CB0C6}">
      <text>
        <r>
          <rPr>
            <sz val="9"/>
            <color indexed="81"/>
            <rFont val="Tahoma"/>
            <family val="2"/>
          </rPr>
          <t>Deflection Amplification Factor (Cd) is specific to seismic design, per Table 12.2-1 of ASCE7. Leave blank if designing for a wind load.
Cd = 4.0 for bearing wall systems
Cd = 4.5 for building frame systems</t>
        </r>
      </text>
    </comment>
    <comment ref="K106" authorId="0" shapeId="0" xr:uid="{50DD3007-F270-4EB6-978F-456C771FAD33}">
      <text>
        <r>
          <rPr>
            <sz val="9"/>
            <color indexed="81"/>
            <rFont val="Tahoma"/>
            <family val="2"/>
          </rPr>
          <t>Input deflection of hold down under load from maximum HD capacity given in inches (in) as published by hold down manufacturer.</t>
        </r>
      </text>
    </comment>
    <comment ref="B118" authorId="0" shapeId="0" xr:uid="{0F3D6A98-9181-4602-AA3C-BA75B8BF1109}">
      <text>
        <r>
          <rPr>
            <sz val="9"/>
            <color indexed="81"/>
            <rFont val="Tahoma"/>
            <family val="2"/>
          </rPr>
          <t xml:space="preserve">"A Override" is to be used in case of unique circumstances where the nominal size of the framing members used for the shear wall end post is composed of members not listed in the "Stud Size" drop down table. </t>
        </r>
      </text>
    </comment>
  </commentList>
</comments>
</file>

<file path=xl/sharedStrings.xml><?xml version="1.0" encoding="utf-8"?>
<sst xmlns="http://schemas.openxmlformats.org/spreadsheetml/2006/main" count="1524" uniqueCount="437">
  <si>
    <t>Force Transfer Around Openings (FTAO) Calculator Instructions</t>
  </si>
  <si>
    <t xml:space="preserve">The APA Force Transfer Around Openings (FTAO) Calculator is divided into three worksheets: shear wall with one opening, shear wall with two openings, and shear wall with three openings.  Each calculation tab will produce the maximum hold-down force for uplift resistance, the required horizontal strap force for the tension straps above and below openings, the maximum shear force to determine sheathing attachment, the required shear wall anchorage force to determine base plate connection, and the maximum deflection of the wall system.  </t>
  </si>
  <si>
    <r>
      <t xml:space="preserve">To use the calculator, </t>
    </r>
    <r>
      <rPr>
        <u/>
        <sz val="11"/>
        <color theme="1"/>
        <rFont val="Calibri"/>
        <family val="2"/>
        <scheme val="minor"/>
      </rPr>
      <t xml:space="preserve">input the required information into the </t>
    </r>
    <r>
      <rPr>
        <b/>
        <u/>
        <sz val="11"/>
        <color theme="9"/>
        <rFont val="Calibri"/>
        <family val="2"/>
        <scheme val="minor"/>
      </rPr>
      <t>ORANGE</t>
    </r>
    <r>
      <rPr>
        <u/>
        <sz val="11"/>
        <color theme="1"/>
        <rFont val="Calibri"/>
        <family val="2"/>
        <scheme val="minor"/>
      </rPr>
      <t xml:space="preserve"> input cells</t>
    </r>
    <r>
      <rPr>
        <sz val="11"/>
        <color theme="1"/>
        <rFont val="Calibri"/>
        <family val="2"/>
        <scheme val="minor"/>
      </rPr>
      <t xml:space="preserve">; definitions for the required cell inputs can be found below. Move quickly between input cells by using the </t>
    </r>
    <r>
      <rPr>
        <b/>
        <sz val="11"/>
        <color theme="1"/>
        <rFont val="Calibri"/>
        <family val="2"/>
        <scheme val="minor"/>
      </rPr>
      <t>TAB</t>
    </r>
    <r>
      <rPr>
        <sz val="11"/>
        <color theme="1"/>
        <rFont val="Calibri"/>
        <family val="2"/>
        <scheme val="minor"/>
      </rPr>
      <t xml:space="preserve"> key.</t>
    </r>
    <r>
      <rPr>
        <b/>
        <sz val="11"/>
        <color theme="1"/>
        <rFont val="Calibri"/>
        <family val="2"/>
        <scheme val="minor"/>
      </rPr>
      <t xml:space="preserve"> </t>
    </r>
    <r>
      <rPr>
        <sz val="11"/>
        <color theme="1"/>
        <rFont val="Calibri"/>
        <family val="2"/>
        <scheme val="minor"/>
      </rPr>
      <t xml:space="preserve">Certain input cells, such as the Hold-Down Capacity input in the deflection calculation, have comment dialogue to clarify the input.  </t>
    </r>
  </si>
  <si>
    <t>Variables for Shear Wall Calculations</t>
  </si>
  <si>
    <t>V</t>
  </si>
  <si>
    <r>
      <t>= Applied shear as lateral force at top of wall, in pounds (lb).</t>
    </r>
    <r>
      <rPr>
        <sz val="11"/>
        <rFont val="Calibri"/>
        <family val="2"/>
        <scheme val="minor"/>
      </rPr>
      <t xml:space="preserve">  Value should include all applicable factors for design method (ASD/LRFD) and load type (wind/seismic). </t>
    </r>
  </si>
  <si>
    <t>L(i)</t>
  </si>
  <si>
    <t>= Length of individual wall pier segment as indicated by L1, L2, L3 and L4 measured in feet (ft).</t>
  </si>
  <si>
    <t>Lo(i)</t>
  </si>
  <si>
    <t>= Length for individual clear openings as indicated by Lo1, Lo2 and Lo3 measured in feet (ft).</t>
  </si>
  <si>
    <r>
      <t>h</t>
    </r>
    <r>
      <rPr>
        <b/>
        <vertAlign val="subscript"/>
        <sz val="11"/>
        <color theme="1"/>
        <rFont val="Calibri"/>
        <family val="2"/>
        <scheme val="minor"/>
      </rPr>
      <t>o</t>
    </r>
    <r>
      <rPr>
        <b/>
        <sz val="11"/>
        <color theme="1"/>
        <rFont val="Calibri"/>
        <family val="2"/>
        <scheme val="minor"/>
      </rPr>
      <t>1</t>
    </r>
  </si>
  <si>
    <r>
      <t>= Maximum clear opening height of any opening in the wall system.  Will be reported as h</t>
    </r>
    <r>
      <rPr>
        <vertAlign val="subscript"/>
        <sz val="11"/>
        <color theme="1"/>
        <rFont val="Calibri"/>
        <family val="2"/>
        <scheme val="minor"/>
      </rPr>
      <t>o</t>
    </r>
    <r>
      <rPr>
        <sz val="11"/>
        <color theme="1"/>
        <rFont val="Calibri"/>
        <family val="2"/>
        <scheme val="minor"/>
      </rPr>
      <t>1, h</t>
    </r>
    <r>
      <rPr>
        <vertAlign val="subscript"/>
        <sz val="11"/>
        <color theme="1"/>
        <rFont val="Calibri"/>
        <family val="2"/>
        <scheme val="minor"/>
      </rPr>
      <t>o</t>
    </r>
    <r>
      <rPr>
        <sz val="11"/>
        <color theme="1"/>
        <rFont val="Calibri"/>
        <family val="2"/>
        <scheme val="minor"/>
      </rPr>
      <t>2 and h</t>
    </r>
    <r>
      <rPr>
        <vertAlign val="subscript"/>
        <sz val="11"/>
        <color theme="1"/>
        <rFont val="Calibri"/>
        <family val="2"/>
        <scheme val="minor"/>
      </rPr>
      <t>o</t>
    </r>
    <r>
      <rPr>
        <sz val="11"/>
        <color theme="1"/>
        <rFont val="Calibri"/>
        <family val="2"/>
        <scheme val="minor"/>
      </rPr>
      <t>3 measured in feet (ft).</t>
    </r>
  </si>
  <si>
    <r>
      <t>h</t>
    </r>
    <r>
      <rPr>
        <b/>
        <vertAlign val="subscript"/>
        <sz val="11"/>
        <color theme="1"/>
        <rFont val="Calibri"/>
        <family val="2"/>
        <scheme val="minor"/>
      </rPr>
      <t>a</t>
    </r>
    <r>
      <rPr>
        <b/>
        <sz val="11"/>
        <color theme="1"/>
        <rFont val="Calibri"/>
        <family val="2"/>
        <scheme val="minor"/>
      </rPr>
      <t>1</t>
    </r>
  </si>
  <si>
    <r>
      <t xml:space="preserve">= Height of continuous sheathing above the opening  in correlation with </t>
    </r>
    <r>
      <rPr>
        <b/>
        <sz val="11"/>
        <color theme="1"/>
        <rFont val="Calibri"/>
        <family val="2"/>
        <scheme val="minor"/>
      </rPr>
      <t>h</t>
    </r>
    <r>
      <rPr>
        <b/>
        <vertAlign val="subscript"/>
        <sz val="11"/>
        <color theme="1"/>
        <rFont val="Calibri"/>
        <family val="2"/>
        <scheme val="minor"/>
      </rPr>
      <t>o</t>
    </r>
    <r>
      <rPr>
        <b/>
        <sz val="11"/>
        <color theme="1"/>
        <rFont val="Calibri"/>
        <family val="2"/>
        <scheme val="minor"/>
      </rPr>
      <t>1</t>
    </r>
    <r>
      <rPr>
        <sz val="11"/>
        <color theme="1"/>
        <rFont val="Calibri"/>
        <family val="2"/>
        <scheme val="minor"/>
      </rPr>
      <t xml:space="preserve"> above.  Will be reported as h</t>
    </r>
    <r>
      <rPr>
        <vertAlign val="subscript"/>
        <sz val="11"/>
        <color theme="1"/>
        <rFont val="Calibri"/>
        <family val="2"/>
        <scheme val="minor"/>
      </rPr>
      <t>a</t>
    </r>
    <r>
      <rPr>
        <sz val="11"/>
        <color theme="1"/>
        <rFont val="Calibri"/>
        <family val="2"/>
        <scheme val="minor"/>
      </rPr>
      <t>1, h</t>
    </r>
    <r>
      <rPr>
        <vertAlign val="subscript"/>
        <sz val="11"/>
        <color theme="1"/>
        <rFont val="Calibri"/>
        <family val="2"/>
        <scheme val="minor"/>
      </rPr>
      <t>a</t>
    </r>
    <r>
      <rPr>
        <sz val="11"/>
        <color theme="1"/>
        <rFont val="Calibri"/>
        <family val="2"/>
        <scheme val="minor"/>
      </rPr>
      <t>2 and h</t>
    </r>
    <r>
      <rPr>
        <vertAlign val="subscript"/>
        <sz val="11"/>
        <color theme="1"/>
        <rFont val="Calibri"/>
        <family val="2"/>
        <scheme val="minor"/>
      </rPr>
      <t>a</t>
    </r>
    <r>
      <rPr>
        <sz val="11"/>
        <color theme="1"/>
        <rFont val="Calibri"/>
        <family val="2"/>
        <scheme val="minor"/>
      </rPr>
      <t>3 measured in feet (ft).</t>
    </r>
  </si>
  <si>
    <r>
      <t>h</t>
    </r>
    <r>
      <rPr>
        <b/>
        <vertAlign val="subscript"/>
        <sz val="11"/>
        <color theme="1"/>
        <rFont val="Calibri"/>
        <family val="2"/>
        <scheme val="minor"/>
      </rPr>
      <t>b</t>
    </r>
    <r>
      <rPr>
        <b/>
        <sz val="11"/>
        <color theme="1"/>
        <rFont val="Calibri"/>
        <family val="2"/>
        <scheme val="minor"/>
      </rPr>
      <t>1</t>
    </r>
  </si>
  <si>
    <r>
      <t xml:space="preserve">= Height of continuous sheathing below the opening in correlation with </t>
    </r>
    <r>
      <rPr>
        <b/>
        <sz val="11"/>
        <color theme="1"/>
        <rFont val="Calibri"/>
        <family val="2"/>
        <scheme val="minor"/>
      </rPr>
      <t>h</t>
    </r>
    <r>
      <rPr>
        <b/>
        <vertAlign val="subscript"/>
        <sz val="11"/>
        <color theme="1"/>
        <rFont val="Calibri"/>
        <family val="2"/>
        <scheme val="minor"/>
      </rPr>
      <t>o</t>
    </r>
    <r>
      <rPr>
        <b/>
        <sz val="11"/>
        <color theme="1"/>
        <rFont val="Calibri"/>
        <family val="2"/>
        <scheme val="minor"/>
      </rPr>
      <t>1</t>
    </r>
    <r>
      <rPr>
        <sz val="11"/>
        <color theme="1"/>
        <rFont val="Calibri"/>
        <family val="2"/>
        <scheme val="minor"/>
      </rPr>
      <t xml:space="preserve"> above.  Will be reported as h</t>
    </r>
    <r>
      <rPr>
        <vertAlign val="subscript"/>
        <sz val="11"/>
        <color theme="1"/>
        <rFont val="Calibri"/>
        <family val="2"/>
        <scheme val="minor"/>
      </rPr>
      <t>b</t>
    </r>
    <r>
      <rPr>
        <sz val="11"/>
        <color theme="1"/>
        <rFont val="Calibri"/>
        <family val="2"/>
        <scheme val="minor"/>
      </rPr>
      <t>1, h</t>
    </r>
    <r>
      <rPr>
        <vertAlign val="subscript"/>
        <sz val="11"/>
        <color theme="1"/>
        <rFont val="Calibri"/>
        <family val="2"/>
        <scheme val="minor"/>
      </rPr>
      <t>b</t>
    </r>
    <r>
      <rPr>
        <sz val="11"/>
        <color theme="1"/>
        <rFont val="Calibri"/>
        <family val="2"/>
        <scheme val="minor"/>
      </rPr>
      <t>2 and h</t>
    </r>
    <r>
      <rPr>
        <vertAlign val="subscript"/>
        <sz val="11"/>
        <color theme="1"/>
        <rFont val="Calibri"/>
        <family val="2"/>
        <scheme val="minor"/>
      </rPr>
      <t>b</t>
    </r>
    <r>
      <rPr>
        <sz val="11"/>
        <color theme="1"/>
        <rFont val="Calibri"/>
        <family val="2"/>
        <scheme val="minor"/>
      </rPr>
      <t>3 measured in feet (ft).</t>
    </r>
  </si>
  <si>
    <r>
      <t>h</t>
    </r>
    <r>
      <rPr>
        <b/>
        <vertAlign val="subscript"/>
        <sz val="11"/>
        <color theme="1"/>
        <rFont val="Calibri"/>
        <family val="2"/>
        <scheme val="minor"/>
      </rPr>
      <t>wall</t>
    </r>
  </si>
  <si>
    <r>
      <t xml:space="preserve">= Total </t>
    </r>
    <r>
      <rPr>
        <b/>
        <sz val="11"/>
        <color theme="1"/>
        <rFont val="Calibri"/>
        <family val="2"/>
        <scheme val="minor"/>
      </rPr>
      <t>calculated</t>
    </r>
    <r>
      <rPr>
        <sz val="11"/>
        <color theme="1"/>
        <rFont val="Calibri"/>
        <family val="2"/>
        <scheme val="minor"/>
      </rPr>
      <t xml:space="preserve"> height of shear wall from bottom of sill plate to top of top plate measured in feet (ft).  Calculated as the summation of </t>
    </r>
    <r>
      <rPr>
        <b/>
        <sz val="11"/>
        <color theme="1"/>
        <rFont val="Calibri"/>
        <family val="2"/>
        <scheme val="minor"/>
      </rPr>
      <t>h</t>
    </r>
    <r>
      <rPr>
        <b/>
        <vertAlign val="subscript"/>
        <sz val="11"/>
        <color theme="1"/>
        <rFont val="Calibri"/>
        <family val="2"/>
        <scheme val="minor"/>
      </rPr>
      <t>o</t>
    </r>
    <r>
      <rPr>
        <b/>
        <sz val="11"/>
        <color theme="1"/>
        <rFont val="Calibri"/>
        <family val="2"/>
        <scheme val="minor"/>
      </rPr>
      <t>1</t>
    </r>
    <r>
      <rPr>
        <sz val="11"/>
        <color theme="1"/>
        <rFont val="Calibri"/>
        <family val="2"/>
        <scheme val="minor"/>
      </rPr>
      <t xml:space="preserve">, </t>
    </r>
    <r>
      <rPr>
        <b/>
        <sz val="11"/>
        <color theme="1"/>
        <rFont val="Calibri"/>
        <family val="2"/>
        <scheme val="minor"/>
      </rPr>
      <t>h</t>
    </r>
    <r>
      <rPr>
        <b/>
        <vertAlign val="subscript"/>
        <sz val="11"/>
        <color theme="1"/>
        <rFont val="Calibri"/>
        <family val="2"/>
        <scheme val="minor"/>
      </rPr>
      <t>a</t>
    </r>
    <r>
      <rPr>
        <b/>
        <sz val="11"/>
        <color theme="1"/>
        <rFont val="Calibri"/>
        <family val="2"/>
        <scheme val="minor"/>
      </rPr>
      <t>1</t>
    </r>
    <r>
      <rPr>
        <sz val="11"/>
        <color theme="1"/>
        <rFont val="Calibri"/>
        <family val="2"/>
        <scheme val="minor"/>
      </rPr>
      <t xml:space="preserve">, and </t>
    </r>
    <r>
      <rPr>
        <b/>
        <sz val="11"/>
        <color theme="1"/>
        <rFont val="Calibri"/>
        <family val="2"/>
        <scheme val="minor"/>
      </rPr>
      <t>h</t>
    </r>
    <r>
      <rPr>
        <b/>
        <vertAlign val="subscript"/>
        <sz val="11"/>
        <color theme="1"/>
        <rFont val="Calibri"/>
        <family val="2"/>
        <scheme val="minor"/>
      </rPr>
      <t>b</t>
    </r>
    <r>
      <rPr>
        <b/>
        <sz val="11"/>
        <color theme="1"/>
        <rFont val="Calibri"/>
        <family val="2"/>
        <scheme val="minor"/>
      </rPr>
      <t>1</t>
    </r>
    <r>
      <rPr>
        <sz val="11"/>
        <color theme="1"/>
        <rFont val="Calibri"/>
        <family val="2"/>
        <scheme val="minor"/>
      </rPr>
      <t xml:space="preserve">. </t>
    </r>
  </si>
  <si>
    <r>
      <t>L</t>
    </r>
    <r>
      <rPr>
        <b/>
        <vertAlign val="subscript"/>
        <sz val="11"/>
        <color theme="1"/>
        <rFont val="Calibri"/>
        <family val="2"/>
        <scheme val="minor"/>
      </rPr>
      <t>wall</t>
    </r>
  </si>
  <si>
    <r>
      <t xml:space="preserve">= Total </t>
    </r>
    <r>
      <rPr>
        <b/>
        <sz val="11"/>
        <color theme="1"/>
        <rFont val="Calibri"/>
        <family val="2"/>
        <scheme val="minor"/>
      </rPr>
      <t>calculated</t>
    </r>
    <r>
      <rPr>
        <sz val="11"/>
        <color theme="1"/>
        <rFont val="Calibri"/>
        <family val="2"/>
        <scheme val="minor"/>
      </rPr>
      <t xml:space="preserve"> length of shear wall measured in feet (ft).  Calculated as the summation of </t>
    </r>
    <r>
      <rPr>
        <b/>
        <sz val="11"/>
        <color theme="1"/>
        <rFont val="Calibri"/>
        <family val="2"/>
        <scheme val="minor"/>
      </rPr>
      <t xml:space="preserve">L(i) </t>
    </r>
    <r>
      <rPr>
        <sz val="11"/>
        <color theme="1"/>
        <rFont val="Calibri"/>
        <family val="2"/>
        <scheme val="minor"/>
      </rPr>
      <t xml:space="preserve">and </t>
    </r>
    <r>
      <rPr>
        <b/>
        <sz val="11"/>
        <color theme="1"/>
        <rFont val="Calibri"/>
        <family val="2"/>
        <scheme val="minor"/>
      </rPr>
      <t>Lo(i)</t>
    </r>
    <r>
      <rPr>
        <sz val="11"/>
        <color theme="1"/>
        <rFont val="Calibri"/>
        <family val="2"/>
        <scheme val="minor"/>
      </rPr>
      <t>.</t>
    </r>
  </si>
  <si>
    <t>Adj. Factor Method</t>
  </si>
  <si>
    <r>
      <t xml:space="preserve">= Select the desired aspect ratio adjustment factor method from </t>
    </r>
    <r>
      <rPr>
        <b/>
        <sz val="11"/>
        <color theme="1"/>
        <rFont val="Calibri"/>
        <family val="2"/>
        <scheme val="minor"/>
      </rPr>
      <t>2b</t>
    </r>
    <r>
      <rPr>
        <b/>
        <vertAlign val="subscript"/>
        <sz val="11"/>
        <color theme="1"/>
        <rFont val="Calibri"/>
        <family val="2"/>
        <scheme val="minor"/>
      </rPr>
      <t>s</t>
    </r>
    <r>
      <rPr>
        <b/>
        <sz val="11"/>
        <color theme="1"/>
        <rFont val="Calibri"/>
        <family val="2"/>
        <scheme val="minor"/>
      </rPr>
      <t>/h</t>
    </r>
    <r>
      <rPr>
        <sz val="11"/>
        <color theme="1"/>
        <rFont val="Calibri"/>
        <family val="2"/>
        <scheme val="minor"/>
      </rPr>
      <t>,</t>
    </r>
    <r>
      <rPr>
        <b/>
        <sz val="11"/>
        <color theme="1"/>
        <rFont val="Calibri"/>
        <family val="2"/>
        <scheme val="minor"/>
      </rPr>
      <t xml:space="preserve"> 1.25-0.125h/b</t>
    </r>
    <r>
      <rPr>
        <b/>
        <vertAlign val="subscript"/>
        <sz val="11"/>
        <color theme="1"/>
        <rFont val="Calibri"/>
        <family val="2"/>
        <scheme val="minor"/>
      </rPr>
      <t>s</t>
    </r>
    <r>
      <rPr>
        <sz val="11"/>
        <color theme="1"/>
        <rFont val="Calibri"/>
        <family val="2"/>
        <scheme val="minor"/>
      </rPr>
      <t xml:space="preserve">, or </t>
    </r>
    <r>
      <rPr>
        <b/>
        <sz val="11"/>
        <color theme="1"/>
        <rFont val="Calibri"/>
        <family val="2"/>
        <scheme val="minor"/>
      </rPr>
      <t>None.</t>
    </r>
    <r>
      <rPr>
        <sz val="11"/>
        <color theme="1"/>
        <rFont val="Calibri"/>
        <family val="2"/>
        <scheme val="minor"/>
      </rPr>
      <t xml:space="preserve"> See </t>
    </r>
    <r>
      <rPr>
        <i/>
        <sz val="11"/>
        <color theme="1"/>
        <rFont val="Calibri"/>
        <family val="2"/>
        <scheme val="minor"/>
      </rPr>
      <t>2008 SDPWS section 4.3.4</t>
    </r>
    <r>
      <rPr>
        <sz val="11"/>
        <color theme="1"/>
        <rFont val="Calibri"/>
        <family val="2"/>
        <scheme val="minor"/>
      </rPr>
      <t xml:space="preserve"> or 2021 SDPWS </t>
    </r>
  </si>
  <si>
    <r>
      <t xml:space="preserve">   </t>
    </r>
    <r>
      <rPr>
        <i/>
        <sz val="11"/>
        <color theme="1"/>
        <rFont val="Calibri"/>
        <family val="2"/>
        <scheme val="minor"/>
      </rPr>
      <t xml:space="preserve">sections 4.3.3.2 or </t>
    </r>
    <r>
      <rPr>
        <i/>
        <sz val="11"/>
        <rFont val="Calibri"/>
        <family val="2"/>
        <scheme val="minor"/>
      </rPr>
      <t>4.3.5.5.1</t>
    </r>
    <r>
      <rPr>
        <sz val="11"/>
        <color theme="1"/>
        <rFont val="Calibri"/>
        <family val="2"/>
        <scheme val="minor"/>
      </rPr>
      <t>.</t>
    </r>
  </si>
  <si>
    <t>Variables for Shear Wall Deflection Calculations</t>
  </si>
  <si>
    <t>Sheathing</t>
  </si>
  <si>
    <r>
      <t>V</t>
    </r>
    <r>
      <rPr>
        <b/>
        <vertAlign val="subscript"/>
        <sz val="11"/>
        <color theme="1"/>
        <rFont val="Calibri"/>
        <family val="2"/>
        <scheme val="minor"/>
      </rPr>
      <t>unfactored</t>
    </r>
  </si>
  <si>
    <r>
      <t xml:space="preserve">= Shear as </t>
    </r>
    <r>
      <rPr>
        <b/>
        <sz val="11"/>
        <rFont val="Calibri"/>
        <family val="2"/>
        <scheme val="minor"/>
      </rPr>
      <t>unfactored</t>
    </r>
    <r>
      <rPr>
        <sz val="11"/>
        <rFont val="Calibri"/>
        <family val="2"/>
        <scheme val="minor"/>
      </rPr>
      <t xml:space="preserve"> lateral force at top of wall, in pounds (lb).  </t>
    </r>
  </si>
  <si>
    <t>Sheathing Type</t>
  </si>
  <si>
    <r>
      <t xml:space="preserve">= Classification and performance category for applied wall sheathing. Select 3/8, 7/16, 15/32 or 19/32 category for either </t>
    </r>
    <r>
      <rPr>
        <b/>
        <sz val="11"/>
        <color theme="1"/>
        <rFont val="Calibri"/>
        <family val="2"/>
        <scheme val="minor"/>
      </rPr>
      <t>OSB</t>
    </r>
    <r>
      <rPr>
        <sz val="11"/>
        <color theme="1"/>
        <rFont val="Calibri"/>
        <family val="2"/>
        <scheme val="minor"/>
      </rPr>
      <t xml:space="preserve"> (Oriented Strand Board) or </t>
    </r>
    <r>
      <rPr>
        <b/>
        <sz val="11"/>
        <color theme="1"/>
        <rFont val="Calibri"/>
        <family val="2"/>
        <scheme val="minor"/>
      </rPr>
      <t>Plywood</t>
    </r>
    <r>
      <rPr>
        <sz val="11"/>
        <color theme="1"/>
        <rFont val="Calibri"/>
        <family val="2"/>
        <scheme val="minor"/>
      </rPr>
      <t xml:space="preserve">.        </t>
    </r>
  </si>
  <si>
    <t xml:space="preserve">   Drop down menu selection is dependant on common availability for specified sheathing material.</t>
  </si>
  <si>
    <t>Grade</t>
  </si>
  <si>
    <r>
      <t xml:space="preserve">= Designation of </t>
    </r>
    <r>
      <rPr>
        <b/>
        <sz val="11"/>
        <color theme="1"/>
        <rFont val="Calibri"/>
        <family val="2"/>
        <scheme val="minor"/>
      </rPr>
      <t>Sheathing Type</t>
    </r>
    <r>
      <rPr>
        <sz val="11"/>
        <color theme="1"/>
        <rFont val="Calibri"/>
        <family val="2"/>
        <scheme val="minor"/>
      </rPr>
      <t xml:space="preserve"> strength grade.  Select either </t>
    </r>
    <r>
      <rPr>
        <b/>
        <sz val="11"/>
        <color theme="1"/>
        <rFont val="Calibri"/>
        <family val="2"/>
        <scheme val="minor"/>
      </rPr>
      <t>APA Rated Sheathing</t>
    </r>
    <r>
      <rPr>
        <sz val="11"/>
        <color theme="1"/>
        <rFont val="Calibri"/>
        <family val="2"/>
        <scheme val="minor"/>
      </rPr>
      <t xml:space="preserve"> or </t>
    </r>
    <r>
      <rPr>
        <b/>
        <sz val="11"/>
        <color theme="1"/>
        <rFont val="Calibri"/>
        <family val="2"/>
        <scheme val="minor"/>
      </rPr>
      <t>APA Structural 1</t>
    </r>
    <r>
      <rPr>
        <sz val="11"/>
        <color theme="1"/>
        <rFont val="Calibri"/>
        <family val="2"/>
        <scheme val="minor"/>
      </rPr>
      <t>.</t>
    </r>
  </si>
  <si>
    <r>
      <t>G</t>
    </r>
    <r>
      <rPr>
        <b/>
        <vertAlign val="subscript"/>
        <sz val="11"/>
        <color theme="1"/>
        <rFont val="Calibri"/>
        <family val="2"/>
        <scheme val="minor"/>
      </rPr>
      <t>t</t>
    </r>
  </si>
  <si>
    <r>
      <t xml:space="preserve">= </t>
    </r>
    <r>
      <rPr>
        <b/>
        <sz val="11"/>
        <color theme="1"/>
        <rFont val="Calibri"/>
        <family val="2"/>
        <scheme val="minor"/>
      </rPr>
      <t>Referenced</t>
    </r>
    <r>
      <rPr>
        <sz val="11"/>
        <color theme="1"/>
        <rFont val="Calibri"/>
        <family val="2"/>
        <scheme val="minor"/>
      </rPr>
      <t xml:space="preserve"> rigidity of wall sheathing panel through the thickness as referenced in </t>
    </r>
    <r>
      <rPr>
        <i/>
        <sz val="11"/>
        <color theme="1"/>
        <rFont val="Calibri"/>
        <family val="2"/>
        <scheme val="minor"/>
      </rPr>
      <t>2021 International Building Code Table 2305.2(2)</t>
    </r>
    <r>
      <rPr>
        <sz val="11"/>
        <color theme="1"/>
        <rFont val="Calibri"/>
        <family val="2"/>
        <scheme val="minor"/>
      </rPr>
      <t>, given in pounds per inch (lb/in).</t>
    </r>
  </si>
  <si>
    <r>
      <t xml:space="preserve">   Value is based on selections made for </t>
    </r>
    <r>
      <rPr>
        <b/>
        <sz val="11"/>
        <color theme="1"/>
        <rFont val="Calibri"/>
        <family val="2"/>
        <scheme val="minor"/>
      </rPr>
      <t>Sheathing Type</t>
    </r>
    <r>
      <rPr>
        <sz val="11"/>
        <color theme="1"/>
        <rFont val="Calibri"/>
        <family val="2"/>
        <scheme val="minor"/>
      </rPr>
      <t xml:space="preserve"> and </t>
    </r>
    <r>
      <rPr>
        <b/>
        <sz val="11"/>
        <color theme="1"/>
        <rFont val="Calibri"/>
        <family val="2"/>
        <scheme val="minor"/>
      </rPr>
      <t>Grade</t>
    </r>
    <r>
      <rPr>
        <sz val="11"/>
        <color theme="1"/>
        <rFont val="Calibri"/>
        <family val="2"/>
        <scheme val="minor"/>
      </rPr>
      <t>.</t>
    </r>
  </si>
  <si>
    <r>
      <t>G</t>
    </r>
    <r>
      <rPr>
        <b/>
        <vertAlign val="subscript"/>
        <sz val="11"/>
        <color theme="1"/>
        <rFont val="Calibri"/>
        <family val="2"/>
        <scheme val="minor"/>
      </rPr>
      <t>t</t>
    </r>
    <r>
      <rPr>
        <b/>
        <sz val="11"/>
        <color theme="1"/>
        <rFont val="Calibri"/>
        <family val="2"/>
        <scheme val="minor"/>
      </rPr>
      <t xml:space="preserve"> Override</t>
    </r>
  </si>
  <si>
    <r>
      <t xml:space="preserve">= Allows the user to perform an </t>
    </r>
    <r>
      <rPr>
        <b/>
        <sz val="11"/>
        <color theme="1"/>
        <rFont val="Calibri"/>
        <family val="2"/>
        <scheme val="minor"/>
      </rPr>
      <t>Input Override</t>
    </r>
    <r>
      <rPr>
        <sz val="11"/>
        <color theme="1"/>
        <rFont val="Calibri"/>
        <family val="2"/>
        <scheme val="minor"/>
      </rPr>
      <t xml:space="preserve"> for the </t>
    </r>
    <r>
      <rPr>
        <b/>
        <sz val="11"/>
        <color theme="1"/>
        <rFont val="Calibri"/>
        <family val="2"/>
        <scheme val="minor"/>
      </rPr>
      <t>G</t>
    </r>
    <r>
      <rPr>
        <b/>
        <vertAlign val="subscript"/>
        <sz val="11"/>
        <color theme="1"/>
        <rFont val="Calibri"/>
        <family val="2"/>
        <scheme val="minor"/>
      </rPr>
      <t>t</t>
    </r>
    <r>
      <rPr>
        <sz val="11"/>
        <color theme="1"/>
        <rFont val="Calibri"/>
        <family val="2"/>
        <scheme val="minor"/>
      </rPr>
      <t xml:space="preserve"> value of sheathing materials that are not included in the drop-down menus of this spreadsheet.</t>
    </r>
  </si>
  <si>
    <r>
      <t>G</t>
    </r>
    <r>
      <rPr>
        <b/>
        <vertAlign val="subscript"/>
        <sz val="11"/>
        <color theme="1"/>
        <rFont val="Calibri"/>
        <family val="2"/>
        <scheme val="minor"/>
      </rPr>
      <t>a</t>
    </r>
  </si>
  <si>
    <r>
      <t xml:space="preserve">= </t>
    </r>
    <r>
      <rPr>
        <b/>
        <sz val="11"/>
        <color theme="1"/>
        <rFont val="Calibri"/>
        <family val="2"/>
        <scheme val="minor"/>
      </rPr>
      <t xml:space="preserve">Referenced </t>
    </r>
    <r>
      <rPr>
        <sz val="11"/>
        <color theme="1"/>
        <rFont val="Calibri"/>
        <family val="2"/>
        <scheme val="minor"/>
      </rPr>
      <t xml:space="preserve">apparent shear wall shear stiffness from nail slip and panel deformation as referenced in </t>
    </r>
    <r>
      <rPr>
        <i/>
        <sz val="11"/>
        <color theme="1"/>
        <rFont val="Calibri"/>
        <family val="2"/>
        <scheme val="minor"/>
      </rPr>
      <t xml:space="preserve">2021 SDPWS Tables 4.3A, 4.3B, 4.3C and 4.3D, </t>
    </r>
  </si>
  <si>
    <r>
      <t xml:space="preserve">    Column A, given in kips per in (kips/in).  Value is based on selections made for </t>
    </r>
    <r>
      <rPr>
        <b/>
        <sz val="11"/>
        <color theme="1"/>
        <rFont val="Calibri"/>
        <family val="2"/>
        <scheme val="minor"/>
      </rPr>
      <t>Sheathing Type</t>
    </r>
    <r>
      <rPr>
        <sz val="11"/>
        <color theme="1"/>
        <rFont val="Calibri"/>
        <family val="2"/>
        <scheme val="minor"/>
      </rPr>
      <t xml:space="preserve">, </t>
    </r>
    <r>
      <rPr>
        <b/>
        <sz val="11"/>
        <color theme="1"/>
        <rFont val="Calibri"/>
        <family val="2"/>
        <scheme val="minor"/>
      </rPr>
      <t>Grade</t>
    </r>
    <r>
      <rPr>
        <sz val="11"/>
        <color theme="1"/>
        <rFont val="Calibri"/>
        <family val="2"/>
        <scheme val="minor"/>
      </rPr>
      <t xml:space="preserve">, </t>
    </r>
    <r>
      <rPr>
        <b/>
        <sz val="11"/>
        <color theme="1"/>
        <rFont val="Calibri"/>
        <family val="2"/>
        <scheme val="minor"/>
      </rPr>
      <t>Nail Type</t>
    </r>
    <r>
      <rPr>
        <sz val="11"/>
        <color theme="1"/>
        <rFont val="Calibri"/>
        <family val="2"/>
        <scheme val="minor"/>
      </rPr>
      <t xml:space="preserve"> and </t>
    </r>
    <r>
      <rPr>
        <b/>
        <sz val="11"/>
        <color theme="1"/>
        <rFont val="Calibri"/>
        <family val="2"/>
        <scheme val="minor"/>
      </rPr>
      <t>Nail Spacing</t>
    </r>
    <r>
      <rPr>
        <sz val="11"/>
        <color theme="1"/>
        <rFont val="Calibri"/>
        <family val="2"/>
        <scheme val="minor"/>
      </rPr>
      <t>.</t>
    </r>
  </si>
  <si>
    <r>
      <t>G</t>
    </r>
    <r>
      <rPr>
        <b/>
        <vertAlign val="subscript"/>
        <sz val="11"/>
        <color theme="1"/>
        <rFont val="Calibri"/>
        <family val="2"/>
        <scheme val="minor"/>
      </rPr>
      <t>a</t>
    </r>
    <r>
      <rPr>
        <b/>
        <sz val="11"/>
        <color theme="1"/>
        <rFont val="Calibri"/>
        <family val="2"/>
        <scheme val="minor"/>
      </rPr>
      <t xml:space="preserve"> Override</t>
    </r>
  </si>
  <si>
    <r>
      <t xml:space="preserve">= Allows the user to perform an </t>
    </r>
    <r>
      <rPr>
        <b/>
        <sz val="11"/>
        <color theme="1"/>
        <rFont val="Calibri"/>
        <family val="2"/>
        <scheme val="minor"/>
      </rPr>
      <t>Input Override</t>
    </r>
    <r>
      <rPr>
        <sz val="11"/>
        <color theme="1"/>
        <rFont val="Calibri"/>
        <family val="2"/>
        <scheme val="minor"/>
      </rPr>
      <t xml:space="preserve"> for the </t>
    </r>
    <r>
      <rPr>
        <b/>
        <sz val="11"/>
        <color theme="1"/>
        <rFont val="Calibri"/>
        <family val="2"/>
        <scheme val="minor"/>
      </rPr>
      <t>G</t>
    </r>
    <r>
      <rPr>
        <b/>
        <vertAlign val="subscript"/>
        <sz val="11"/>
        <color theme="1"/>
        <rFont val="Calibri"/>
        <family val="2"/>
        <scheme val="minor"/>
      </rPr>
      <t>a</t>
    </r>
    <r>
      <rPr>
        <sz val="11"/>
        <color theme="1"/>
        <rFont val="Calibri"/>
        <family val="2"/>
        <scheme val="minor"/>
      </rPr>
      <t xml:space="preserve"> value of sheathing materials that are not included in the drop-down menus of this spreadsheet.</t>
    </r>
  </si>
  <si>
    <t>Nail Type</t>
  </si>
  <si>
    <r>
      <t xml:space="preserve">= Select either </t>
    </r>
    <r>
      <rPr>
        <b/>
        <sz val="11"/>
        <color theme="1"/>
        <rFont val="Calibri"/>
        <family val="2"/>
        <scheme val="minor"/>
      </rPr>
      <t xml:space="preserve">8d common </t>
    </r>
    <r>
      <rPr>
        <sz val="11"/>
        <color theme="1"/>
        <rFont val="Calibri"/>
        <family val="2"/>
        <scheme val="minor"/>
      </rPr>
      <t xml:space="preserve"> or </t>
    </r>
    <r>
      <rPr>
        <b/>
        <sz val="11"/>
        <color theme="1"/>
        <rFont val="Calibri"/>
        <family val="2"/>
        <scheme val="minor"/>
      </rPr>
      <t>10d common</t>
    </r>
    <r>
      <rPr>
        <sz val="11"/>
        <color theme="1"/>
        <rFont val="Calibri"/>
        <family val="2"/>
        <scheme val="minor"/>
      </rPr>
      <t xml:space="preserve"> nails in order to calculate the fastener deformation value, </t>
    </r>
    <r>
      <rPr>
        <b/>
        <sz val="11"/>
        <color theme="1"/>
        <rFont val="Calibri"/>
        <family val="2"/>
        <scheme val="minor"/>
      </rPr>
      <t>e</t>
    </r>
    <r>
      <rPr>
        <sz val="11"/>
        <color theme="1"/>
        <rFont val="Calibri"/>
        <family val="2"/>
        <scheme val="minor"/>
      </rPr>
      <t>.</t>
    </r>
  </si>
  <si>
    <t>Nail Spacing</t>
  </si>
  <si>
    <t>= Select the specified nail spacing between 2 and 6 inches to be used at edges of wall sheathing panels.</t>
  </si>
  <si>
    <t>Wood End Post Values</t>
  </si>
  <si>
    <t>Wood Species</t>
  </si>
  <si>
    <t>= Type in name of wood species of materials used at the shearwall end posts, i.e. Hem Fir #2.  This cell is not used in the calculations.</t>
  </si>
  <si>
    <t>E</t>
  </si>
  <si>
    <r>
      <t xml:space="preserve">= Modulus of elasticity for the wood species used at the shearwall end posts in correlation to </t>
    </r>
    <r>
      <rPr>
        <b/>
        <sz val="11"/>
        <color theme="1"/>
        <rFont val="Calibri"/>
        <family val="2"/>
        <scheme val="minor"/>
      </rPr>
      <t>Wood Species</t>
    </r>
    <r>
      <rPr>
        <sz val="11"/>
        <color theme="1"/>
        <rFont val="Calibri"/>
        <family val="2"/>
        <scheme val="minor"/>
      </rPr>
      <t xml:space="preserve"> name above.  This value is as referenced in</t>
    </r>
    <r>
      <rPr>
        <i/>
        <sz val="11"/>
        <color theme="1"/>
        <rFont val="Calibri"/>
        <family val="2"/>
        <scheme val="minor"/>
      </rPr>
      <t xml:space="preserve"> </t>
    </r>
    <r>
      <rPr>
        <sz val="11"/>
        <color theme="1"/>
        <rFont val="Calibri"/>
        <family val="2"/>
        <scheme val="minor"/>
      </rPr>
      <t>the</t>
    </r>
  </si>
  <si>
    <r>
      <t xml:space="preserve">   </t>
    </r>
    <r>
      <rPr>
        <i/>
        <sz val="11"/>
        <color theme="1"/>
        <rFont val="Calibri"/>
        <family val="2"/>
        <scheme val="minor"/>
      </rPr>
      <t>2018 Design Values For Wood Construction - NDS Supplement Table 4A</t>
    </r>
    <r>
      <rPr>
        <sz val="11"/>
        <color theme="1"/>
        <rFont val="Calibri"/>
        <family val="2"/>
        <scheme val="minor"/>
      </rPr>
      <t>, and is given in pounds per square inch (psi).</t>
    </r>
  </si>
  <si>
    <t>Qty</t>
  </si>
  <si>
    <t>= Specify number of structural members used at the shearwall end post.</t>
  </si>
  <si>
    <t>Stud Size</t>
  </si>
  <si>
    <t>= Select the size of studs used as the structural members for the shearwall end post.</t>
  </si>
  <si>
    <t>A</t>
  </si>
  <si>
    <r>
      <t xml:space="preserve">= </t>
    </r>
    <r>
      <rPr>
        <b/>
        <sz val="11"/>
        <color theme="1"/>
        <rFont val="Calibri"/>
        <family val="2"/>
        <scheme val="minor"/>
      </rPr>
      <t xml:space="preserve">Calculated </t>
    </r>
    <r>
      <rPr>
        <sz val="11"/>
        <color theme="1"/>
        <rFont val="Calibri"/>
        <family val="2"/>
        <scheme val="minor"/>
      </rPr>
      <t>cross-sectional area of shearwall end post given in square inches (in</t>
    </r>
    <r>
      <rPr>
        <vertAlign val="superscript"/>
        <sz val="11"/>
        <color theme="1"/>
        <rFont val="Calibri"/>
        <family val="2"/>
        <scheme val="minor"/>
      </rPr>
      <t>2</t>
    </r>
    <r>
      <rPr>
        <sz val="11"/>
        <color theme="1"/>
        <rFont val="Calibri"/>
        <family val="2"/>
        <scheme val="minor"/>
      </rPr>
      <t xml:space="preserve">). Calculated based on </t>
    </r>
    <r>
      <rPr>
        <b/>
        <sz val="11"/>
        <color theme="1"/>
        <rFont val="Calibri"/>
        <family val="2"/>
        <scheme val="minor"/>
      </rPr>
      <t xml:space="preserve">Qty </t>
    </r>
    <r>
      <rPr>
        <sz val="11"/>
        <color theme="1"/>
        <rFont val="Calibri"/>
        <family val="2"/>
        <scheme val="minor"/>
      </rPr>
      <t xml:space="preserve">and </t>
    </r>
    <r>
      <rPr>
        <b/>
        <sz val="11"/>
        <color theme="1"/>
        <rFont val="Calibri"/>
        <family val="2"/>
        <scheme val="minor"/>
      </rPr>
      <t xml:space="preserve">Stud Size </t>
    </r>
    <r>
      <rPr>
        <sz val="11"/>
        <color theme="1"/>
        <rFont val="Calibri"/>
        <family val="2"/>
        <scheme val="minor"/>
      </rPr>
      <t>selections.</t>
    </r>
  </si>
  <si>
    <t>A Override</t>
  </si>
  <si>
    <r>
      <t xml:space="preserve">= Allows the user to perform an </t>
    </r>
    <r>
      <rPr>
        <b/>
        <sz val="11"/>
        <color theme="1"/>
        <rFont val="Calibri"/>
        <family val="2"/>
        <scheme val="minor"/>
      </rPr>
      <t>Input Override</t>
    </r>
    <r>
      <rPr>
        <sz val="11"/>
        <color theme="1"/>
        <rFont val="Calibri"/>
        <family val="2"/>
        <scheme val="minor"/>
      </rPr>
      <t xml:space="preserve"> for the cross-sectional area of the shearwall end post.  This override should be utilized for stud or column end </t>
    </r>
  </si>
  <si>
    <r>
      <t xml:space="preserve">    posts materials that are not included in the drop-down menus of this spreadsheet.  Inputs should be entered in square inches (in</t>
    </r>
    <r>
      <rPr>
        <vertAlign val="superscript"/>
        <sz val="11"/>
        <color theme="1"/>
        <rFont val="Calibri"/>
        <family val="2"/>
        <scheme val="minor"/>
      </rPr>
      <t>2</t>
    </r>
    <r>
      <rPr>
        <sz val="11"/>
        <color theme="1"/>
        <rFont val="Calibri"/>
        <family val="2"/>
        <scheme val="minor"/>
      </rPr>
      <t xml:space="preserve">). </t>
    </r>
  </si>
  <si>
    <t>HD Capacity</t>
  </si>
  <si>
    <t>= Hold-down capacity value given in pounds (lb) as published by the hold-down manufacturer.</t>
  </si>
  <si>
    <t>HD Deflection</t>
  </si>
  <si>
    <t>= Deflection of hold-down under load from maximum HD capacity given in inches (in) as published by the hold-down manufacturer.</t>
  </si>
  <si>
    <t>APA FTAO Calculator Limitations</t>
  </si>
  <si>
    <t>1. This calculator is limited to three shear wall options: shear wall with one opening, shear wall with two openings, and shear wall with three openings.</t>
  </si>
  <si>
    <r>
      <t xml:space="preserve">2. This calculator is limited to wall systems utilizing blocked wood structural panel wall sheathing, as defined in Section 2.2 of the </t>
    </r>
    <r>
      <rPr>
        <i/>
        <sz val="11"/>
        <color theme="1"/>
        <rFont val="Calibri"/>
        <family val="2"/>
        <scheme val="minor"/>
      </rPr>
      <t>2021</t>
    </r>
    <r>
      <rPr>
        <sz val="11"/>
        <color theme="1"/>
        <rFont val="Calibri"/>
        <family val="2"/>
        <scheme val="minor"/>
      </rPr>
      <t xml:space="preserve"> </t>
    </r>
    <r>
      <rPr>
        <i/>
        <sz val="11"/>
        <color theme="1"/>
        <rFont val="Calibri"/>
        <family val="2"/>
        <scheme val="minor"/>
      </rPr>
      <t>Special Design Provisions for Wind and Seismic</t>
    </r>
    <r>
      <rPr>
        <sz val="11"/>
        <color theme="1"/>
        <rFont val="Calibri"/>
        <family val="2"/>
        <scheme val="minor"/>
      </rPr>
      <t xml:space="preserve"> </t>
    </r>
    <r>
      <rPr>
        <i/>
        <sz val="11"/>
        <color theme="1"/>
        <rFont val="Calibri"/>
        <family val="2"/>
        <scheme val="minor"/>
      </rPr>
      <t>(SDPWS)</t>
    </r>
    <r>
      <rPr>
        <sz val="11"/>
        <color theme="1"/>
        <rFont val="Calibri"/>
        <family val="2"/>
        <scheme val="minor"/>
      </rPr>
      <t xml:space="preserve"> by the American Wood Council.</t>
    </r>
  </si>
  <si>
    <r>
      <t>3. Although different height openings are allowed, this calculator assumes that all window opening heights are equal.  Thus users should utilize the wall dimensions at the largest opening when inputting h</t>
    </r>
    <r>
      <rPr>
        <vertAlign val="subscript"/>
        <sz val="11"/>
        <color theme="1"/>
        <rFont val="Calibri"/>
        <family val="2"/>
        <scheme val="minor"/>
      </rPr>
      <t>a</t>
    </r>
    <r>
      <rPr>
        <sz val="11"/>
        <color theme="1"/>
        <rFont val="Calibri"/>
        <family val="2"/>
        <scheme val="minor"/>
      </rPr>
      <t>, h</t>
    </r>
    <r>
      <rPr>
        <vertAlign val="subscript"/>
        <sz val="11"/>
        <color theme="1"/>
        <rFont val="Calibri"/>
        <family val="2"/>
        <scheme val="minor"/>
      </rPr>
      <t>o</t>
    </r>
    <r>
      <rPr>
        <sz val="11"/>
        <color theme="1"/>
        <rFont val="Calibri"/>
        <family val="2"/>
        <scheme val="minor"/>
      </rPr>
      <t xml:space="preserve"> and h</t>
    </r>
    <r>
      <rPr>
        <vertAlign val="subscript"/>
        <sz val="11"/>
        <color theme="1"/>
        <rFont val="Calibri"/>
        <family val="2"/>
        <scheme val="minor"/>
      </rPr>
      <t>b</t>
    </r>
    <r>
      <rPr>
        <sz val="11"/>
        <color theme="1"/>
        <rFont val="Calibri"/>
        <family val="2"/>
        <scheme val="minor"/>
      </rPr>
      <t>.</t>
    </r>
  </si>
  <si>
    <r>
      <t xml:space="preserve">4. The "Stud Size" input for this calculator is limited to the stud sizes shown in </t>
    </r>
    <r>
      <rPr>
        <i/>
        <sz val="11"/>
        <color theme="1"/>
        <rFont val="Calibri"/>
        <family val="2"/>
        <scheme val="minor"/>
      </rPr>
      <t>IBC Table 2308.5.1: Size, Height and Spacing of Wood Studs</t>
    </r>
    <r>
      <rPr>
        <sz val="11"/>
        <color theme="1"/>
        <rFont val="Calibri"/>
        <family val="2"/>
        <scheme val="minor"/>
      </rPr>
      <t>.  The quantity (Qty.) and stud size selections are used to calculate the area (A) of the end post for each side of all full-height piers within the shear wall.  For instances of uncommon wood stud or column dimensions utilized for shear wall end posts, an "A Override" cell is in place. Enter the area of the end posts in this row to override the value calculated by the Qty. and Stud Size selections.</t>
    </r>
  </si>
  <si>
    <r>
      <t xml:space="preserve">5. The nail type input for the calculator allows for the input of 8d common (0.131" dia. x 2-1/2") and 10d common (0.148" dia. x 3") nails only.  It is important to note that the referenced code tables allow for the use of common or galvanized box nails to attain shear wall strengths.  Testing performed by APA is documented in the </t>
    </r>
    <r>
      <rPr>
        <i/>
        <sz val="11"/>
        <color theme="1"/>
        <rFont val="Calibri"/>
        <family val="2"/>
        <scheme val="minor"/>
      </rPr>
      <t xml:space="preserve">APA Technical Topic: Shear Wall Test Results Comparing 8d Common and 8d Box Nail.  </t>
    </r>
    <r>
      <rPr>
        <sz val="11"/>
        <color theme="1"/>
        <rFont val="Calibri"/>
        <family val="2"/>
        <scheme val="minor"/>
      </rPr>
      <t>The results of these tests suggest similar shear wall performance between walls constructed with 8d common and 8d box nails.</t>
    </r>
  </si>
  <si>
    <r>
      <t>6. In calculating the shear wall deflections for plywood sheathing applications, this calculator utilizes the most conservative published values for both the rigidity of wall sheathing panel through the thickness (G</t>
    </r>
    <r>
      <rPr>
        <vertAlign val="subscript"/>
        <sz val="11"/>
        <color theme="1"/>
        <rFont val="Calibri"/>
        <family val="2"/>
        <scheme val="minor"/>
      </rPr>
      <t>t</t>
    </r>
    <r>
      <rPr>
        <sz val="11"/>
        <color theme="1"/>
        <rFont val="Calibri"/>
        <family val="2"/>
        <scheme val="minor"/>
      </rPr>
      <t>) and the apparent shear wall shear stiffness from nail slip and panel deformation (G</t>
    </r>
    <r>
      <rPr>
        <vertAlign val="subscript"/>
        <sz val="11"/>
        <color theme="1"/>
        <rFont val="Calibri"/>
        <family val="2"/>
        <scheme val="minor"/>
      </rPr>
      <t>a</t>
    </r>
    <r>
      <rPr>
        <sz val="11"/>
        <color theme="1"/>
        <rFont val="Calibri"/>
        <family val="2"/>
        <scheme val="minor"/>
      </rPr>
      <t>) for plywood sheathing.  If needed, adjustments to the G</t>
    </r>
    <r>
      <rPr>
        <vertAlign val="subscript"/>
        <sz val="11"/>
        <color theme="1"/>
        <rFont val="Calibri"/>
        <family val="2"/>
        <scheme val="minor"/>
      </rPr>
      <t>t</t>
    </r>
    <r>
      <rPr>
        <sz val="11"/>
        <color theme="1"/>
        <rFont val="Calibri"/>
        <family val="2"/>
        <scheme val="minor"/>
      </rPr>
      <t xml:space="preserve"> and G</t>
    </r>
    <r>
      <rPr>
        <vertAlign val="subscript"/>
        <sz val="11"/>
        <color theme="1"/>
        <rFont val="Calibri"/>
        <family val="2"/>
        <scheme val="minor"/>
      </rPr>
      <t>a</t>
    </r>
    <r>
      <rPr>
        <sz val="11"/>
        <color theme="1"/>
        <rFont val="Calibri"/>
        <family val="2"/>
        <scheme val="minor"/>
      </rPr>
      <t xml:space="preserve"> values may be made based on a specific plywood construction (i.e., 5-ply,) provided panels are available.</t>
    </r>
  </si>
  <si>
    <r>
      <t xml:space="preserve">7. Section 4.3.2.2 of the </t>
    </r>
    <r>
      <rPr>
        <i/>
        <sz val="11"/>
        <color theme="1"/>
        <rFont val="Calibri"/>
        <family val="2"/>
        <scheme val="minor"/>
      </rPr>
      <t>2021</t>
    </r>
    <r>
      <rPr>
        <sz val="11"/>
        <color theme="1"/>
        <rFont val="Calibri"/>
        <family val="2"/>
        <scheme val="minor"/>
      </rPr>
      <t xml:space="preserve"> </t>
    </r>
    <r>
      <rPr>
        <i/>
        <sz val="11"/>
        <color theme="1"/>
        <rFont val="Calibri"/>
        <family val="2"/>
        <scheme val="minor"/>
      </rPr>
      <t>Special Design Provisions for Wind and Seismic (SDPWS)</t>
    </r>
    <r>
      <rPr>
        <sz val="11"/>
        <color theme="1"/>
        <rFont val="Calibri"/>
        <family val="2"/>
        <scheme val="minor"/>
      </rPr>
      <t xml:space="preserve"> limits wall pier widths to 24 inches, but APA testing successfully utilized blocked pier widths as narrow as 18 inches as noted in APA Form T555.  The pier aspect ratio shall comply with Section 4.3.3.3 of the </t>
    </r>
    <r>
      <rPr>
        <i/>
        <sz val="11"/>
        <color theme="1"/>
        <rFont val="Calibri"/>
        <family val="2"/>
        <scheme val="minor"/>
      </rPr>
      <t>2021</t>
    </r>
    <r>
      <rPr>
        <sz val="11"/>
        <color theme="1"/>
        <rFont val="Calibri"/>
        <family val="2"/>
        <scheme val="minor"/>
      </rPr>
      <t xml:space="preserve"> </t>
    </r>
    <r>
      <rPr>
        <i/>
        <sz val="11"/>
        <color theme="1"/>
        <rFont val="Calibri"/>
        <family val="2"/>
        <scheme val="minor"/>
      </rPr>
      <t>SDPWS</t>
    </r>
    <r>
      <rPr>
        <sz val="11"/>
        <color theme="1"/>
        <rFont val="Calibri"/>
        <family val="2"/>
        <scheme val="minor"/>
      </rPr>
      <t xml:space="preserve">.  Please note that the spreadsheet assumes a minimum allowable pier length of 18 inches, with fully blocked panel edges.  </t>
    </r>
  </si>
  <si>
    <t xml:space="preserve">8. For the panel shear force calculations, this calculator assumes that all input forces are nominal design values and does not apply adjustment factors for ASD or LRFD design.  Entering ASD or LRFD factored loads into the spreadsheet will result in ASD or LRFD outputs throughout the calculations.  </t>
  </si>
  <si>
    <t xml:space="preserve">9. For the deflection and story drift percentage calculations, this calculator assumes that all input forces are actual, unfactored design values and does not apply adjustment factors. </t>
  </si>
  <si>
    <t>10. This calculator does not check that the wall assembly (sheathing grade, thickness, fastening, and hold downs) entered in the deflection portion meets the required forces calculated in the design summary.  The user inputs this data and shall check that the materials specified meet or exceed the required sheathing capacity and hold down force.</t>
  </si>
  <si>
    <t>Disclaimer and Limit of Liability for Use of APA Tool - Last updated: February 20, 2020</t>
  </si>
  <si>
    <r>
      <rPr>
        <b/>
        <i/>
        <sz val="9"/>
        <color theme="1"/>
        <rFont val="Calibri"/>
        <family val="2"/>
        <scheme val="minor"/>
      </rPr>
      <t>Interpretation and Definitions</t>
    </r>
    <r>
      <rPr>
        <i/>
        <sz val="9"/>
        <color theme="1"/>
        <rFont val="Calibri"/>
        <family val="2"/>
        <scheme val="minor"/>
      </rPr>
      <t xml:space="preserve">
Interpretation - The words of which the initial letter is capitalized have meanings as defined below and shall have the same meaning regardless of whether they appear in singular or in plural.
Definitions - For the purposes of this Disclaimer:
•Association (referred to as either "APA”, “the Association", "We", "Us" or "Our" in this Disclaimer) refers to APA – The Engineered Wood Association, 7011 S. 19th Street, Tacoma, WA 98466-5333.
•	You means the individual accessing the APA Tool, or the other legal entity on behalf of which such individual is accessing or using the Tool, as applicable.
•	APA Website refers to https://www.apawood.org (APA – The Engineered Wood Association).
•	Tool refers to the APA Force Transfer Around Openings calculator available on the APA Website. 
</t>
    </r>
    <r>
      <rPr>
        <b/>
        <i/>
        <sz val="9"/>
        <color theme="1"/>
        <rFont val="Calibri"/>
        <family val="2"/>
        <scheme val="minor"/>
      </rPr>
      <t>Disclaimer</t>
    </r>
    <r>
      <rPr>
        <i/>
        <sz val="9"/>
        <color theme="1"/>
        <rFont val="Calibri"/>
        <family val="2"/>
        <scheme val="minor"/>
      </rPr>
      <t xml:space="preserve">
The information contained in the Tool is for general information purposes only.
The Association assumes no responsibility for errors or omissions in the contents of the Tool.
In no event shall the Association be liable for any special, direct, indirect, consequential, or incidental damages or any damages whatsoever, whether in an action of contract, negligence or other tort, arising out of or in connection with the use of the Tool or the contents of the Tool. The Association reserves the right to make additions, deletions, or modifications to the contents in the Tool at any time without prior notice. 
The Association does not warrant that the Tool is free of viruses or other harmful components.
</t>
    </r>
    <r>
      <rPr>
        <b/>
        <i/>
        <sz val="9"/>
        <color theme="1"/>
        <rFont val="Calibri"/>
        <family val="2"/>
        <scheme val="minor"/>
      </rPr>
      <t>External Links Disclaimer</t>
    </r>
    <r>
      <rPr>
        <i/>
        <sz val="9"/>
        <color theme="1"/>
        <rFont val="Calibri"/>
        <family val="2"/>
        <scheme val="minor"/>
      </rPr>
      <t xml:space="preserve">
The Tool may contain links to external websites that are not provided or maintained by or in any way affiliated with the Association.
Please note that the Association does not guarantee the accuracy, relevance, timeliness, or completeness of any information on these external websites.
</t>
    </r>
    <r>
      <rPr>
        <b/>
        <i/>
        <sz val="9"/>
        <color theme="1"/>
        <rFont val="Calibri"/>
        <family val="2"/>
        <scheme val="minor"/>
      </rPr>
      <t>Errors and Omissions Disclaimer</t>
    </r>
    <r>
      <rPr>
        <i/>
        <sz val="9"/>
        <color theme="1"/>
        <rFont val="Calibri"/>
        <family val="2"/>
        <scheme val="minor"/>
      </rPr>
      <t xml:space="preserve">
The information given by the Tool is for general guidance on matters of interest only. Even if the Association takes every precaution to ensure that the content of the Tool is both current and accurate, errors can occur. Plus, given the changing nature of science, laws, rules and regulations, there may be delays, omissions or inaccuracies in the information contained in the Tool.
The Association is not responsible for any errors or omissions, or for the results obtained from the use of this information.
</t>
    </r>
    <r>
      <rPr>
        <b/>
        <i/>
        <sz val="9"/>
        <color theme="1"/>
        <rFont val="Calibri"/>
        <family val="2"/>
        <scheme val="minor"/>
      </rPr>
      <t>Fair Use Disclaimer</t>
    </r>
    <r>
      <rPr>
        <i/>
        <sz val="9"/>
        <color theme="1"/>
        <rFont val="Calibri"/>
        <family val="2"/>
        <scheme val="minor"/>
      </rPr>
      <t xml:space="preserve">
The Association may use copyrighted material which has not always been specifically authorized by the copyright owner. The Association is making such material available for criticism, comment, news reporting, teaching, scholarship, or research.
The Association believes this constitutes a "fair use" of any such copyrighted material as provided for in section 107 of the United States Copyright law.
If You wish to use copyrighted material from the Tool for your own purposes that go beyond fair use, You must obtain permission from the copyright owner.
</t>
    </r>
    <r>
      <rPr>
        <b/>
        <i/>
        <sz val="9"/>
        <color theme="1"/>
        <rFont val="Calibri"/>
        <family val="2"/>
        <scheme val="minor"/>
      </rPr>
      <t>Views Expressed Disclaimer</t>
    </r>
    <r>
      <rPr>
        <i/>
        <sz val="9"/>
        <color theme="1"/>
        <rFont val="Calibri"/>
        <family val="2"/>
        <scheme val="minor"/>
      </rPr>
      <t xml:space="preserve">
The Tool may contain views and opinions which are those of the authors and do not necessarily reflect the official policy or position of any other author, agency, organization, or employer, including the Association.
Comments published by users are their sole responsibility and the users will take full responsibility, liability and blame for any libel or litigation that results from something written in or as a direct result of something written in a comment. The Association is not liable for any comment published by users and reserve the right to delete any comment for any reason whatsoever.
</t>
    </r>
    <r>
      <rPr>
        <b/>
        <i/>
        <sz val="9"/>
        <color theme="1"/>
        <rFont val="Calibri"/>
        <family val="2"/>
        <scheme val="minor"/>
      </rPr>
      <t>No Responsibility Disclaimer</t>
    </r>
    <r>
      <rPr>
        <i/>
        <sz val="9"/>
        <color theme="1"/>
        <rFont val="Calibri"/>
        <family val="2"/>
        <scheme val="minor"/>
      </rPr>
      <t xml:space="preserve">
The information in the Tool is provided with the understanding that the Association is not engaged in rendering legal, accounting, tax, or other professional advice or services. As such, it should not be used as a substitute for consultation with professional accounting, tax, legal or other competent advisers. If you need professional advice, consult an appropriate professional.
In no event shall the Association or its suppliers be liable for any special, incidental, indirect, or consequential damages whatsoever arising out of or in connection with your access or use or inability to access or use the Tool.
</t>
    </r>
    <r>
      <rPr>
        <b/>
        <i/>
        <sz val="9"/>
        <color theme="1"/>
        <rFont val="Calibri"/>
        <family val="2"/>
        <scheme val="minor"/>
      </rPr>
      <t>"Use at Your Own Risk" Disclaimer</t>
    </r>
    <r>
      <rPr>
        <i/>
        <sz val="9"/>
        <color theme="1"/>
        <rFont val="Calibri"/>
        <family val="2"/>
        <scheme val="minor"/>
      </rPr>
      <t xml:space="preserve">
All information in the Tool is provided "as is", with no guarantee of completeness, accuracy, timeliness or of the results obtained from the use of this information, and without warranty of any kind, express or implied, including, but not limited to warranties of performance, merchantability and fitness for a particular purpose.
The Association will not be liable to You or anyone else for any decision made or action taken in reliance on the information given by the Tool or for any consequential, special or similar damages, even if advised of the possibility of such damages.
</t>
    </r>
    <r>
      <rPr>
        <b/>
        <i/>
        <sz val="9"/>
        <color theme="1"/>
        <rFont val="Calibri"/>
        <family val="2"/>
        <scheme val="minor"/>
      </rPr>
      <t>Contact Us</t>
    </r>
    <r>
      <rPr>
        <i/>
        <sz val="9"/>
        <color theme="1"/>
        <rFont val="Calibri"/>
        <family val="2"/>
        <scheme val="minor"/>
      </rPr>
      <t xml:space="preserve">
If you have any questions about this Disclaimer, You can contact Us:
•	By email: help@apawood.org</t>
    </r>
  </si>
  <si>
    <t>Project Information</t>
  </si>
  <si>
    <t>Code:</t>
  </si>
  <si>
    <t>2021 IBC</t>
  </si>
  <si>
    <t>Date:</t>
  </si>
  <si>
    <t>Designer:</t>
  </si>
  <si>
    <t>APA</t>
  </si>
  <si>
    <t>Client:</t>
  </si>
  <si>
    <t>Project:</t>
  </si>
  <si>
    <t>Design Example Published in APA Technical Note - Design for Force Transfer Around Openings (FTAO), Form No. T555B.</t>
  </si>
  <si>
    <t>Wall Line:</t>
  </si>
  <si>
    <t>Shear Wall Calculation Variables</t>
  </si>
  <si>
    <t>Opening 1</t>
  </si>
  <si>
    <t>Opening 2</t>
  </si>
  <si>
    <t>Adj. Factor Method =</t>
  </si>
  <si>
    <t>1.25-0.125h/bs</t>
  </si>
  <si>
    <t>L1</t>
  </si>
  <si>
    <r>
      <t>h</t>
    </r>
    <r>
      <rPr>
        <vertAlign val="subscript"/>
        <sz val="11"/>
        <color theme="1"/>
        <rFont val="Calibri"/>
        <family val="2"/>
        <scheme val="minor"/>
      </rPr>
      <t>a</t>
    </r>
    <r>
      <rPr>
        <sz val="11"/>
        <color theme="1"/>
        <rFont val="Calibri"/>
        <family val="2"/>
        <scheme val="minor"/>
      </rPr>
      <t>1</t>
    </r>
  </si>
  <si>
    <r>
      <t>h</t>
    </r>
    <r>
      <rPr>
        <vertAlign val="subscript"/>
        <sz val="11"/>
        <color theme="1"/>
        <rFont val="Calibri"/>
        <family val="2"/>
        <scheme val="minor"/>
      </rPr>
      <t>a</t>
    </r>
    <r>
      <rPr>
        <sz val="11"/>
        <color theme="1"/>
        <rFont val="Calibri"/>
        <family val="2"/>
        <scheme val="minor"/>
      </rPr>
      <t>2</t>
    </r>
  </si>
  <si>
    <t>Wall Pier Aspect Ratio</t>
  </si>
  <si>
    <t>Adj. Factor</t>
  </si>
  <si>
    <t>L2</t>
  </si>
  <si>
    <r>
      <t>h</t>
    </r>
    <r>
      <rPr>
        <vertAlign val="subscript"/>
        <sz val="11"/>
        <color theme="1"/>
        <rFont val="Calibri"/>
        <family val="2"/>
        <scheme val="minor"/>
      </rPr>
      <t>o</t>
    </r>
    <r>
      <rPr>
        <sz val="11"/>
        <color theme="1"/>
        <rFont val="Calibri"/>
        <family val="2"/>
        <scheme val="minor"/>
      </rPr>
      <t>1</t>
    </r>
  </si>
  <si>
    <r>
      <t>h</t>
    </r>
    <r>
      <rPr>
        <vertAlign val="subscript"/>
        <sz val="11"/>
        <color theme="1"/>
        <rFont val="Calibri"/>
        <family val="2"/>
        <scheme val="minor"/>
      </rPr>
      <t>o</t>
    </r>
    <r>
      <rPr>
        <sz val="11"/>
        <color theme="1"/>
        <rFont val="Calibri"/>
        <family val="2"/>
        <scheme val="minor"/>
      </rPr>
      <t>2</t>
    </r>
  </si>
  <si>
    <r>
      <t>P1=h</t>
    </r>
    <r>
      <rPr>
        <vertAlign val="subscript"/>
        <sz val="11"/>
        <color theme="1"/>
        <rFont val="Calibri"/>
        <family val="2"/>
        <scheme val="minor"/>
      </rPr>
      <t>o</t>
    </r>
    <r>
      <rPr>
        <sz val="11"/>
        <color theme="1"/>
        <rFont val="Calibri"/>
        <family val="2"/>
        <scheme val="minor"/>
      </rPr>
      <t>/L1=</t>
    </r>
  </si>
  <si>
    <t>L3</t>
  </si>
  <si>
    <r>
      <t>h</t>
    </r>
    <r>
      <rPr>
        <vertAlign val="subscript"/>
        <sz val="11"/>
        <color theme="1"/>
        <rFont val="Calibri"/>
        <family val="2"/>
        <scheme val="minor"/>
      </rPr>
      <t>b</t>
    </r>
    <r>
      <rPr>
        <sz val="11"/>
        <color theme="1"/>
        <rFont val="Calibri"/>
        <family val="2"/>
        <scheme val="minor"/>
      </rPr>
      <t>1</t>
    </r>
  </si>
  <si>
    <r>
      <t>h</t>
    </r>
    <r>
      <rPr>
        <vertAlign val="subscript"/>
        <sz val="11"/>
        <color theme="1"/>
        <rFont val="Calibri"/>
        <family val="2"/>
        <scheme val="minor"/>
      </rPr>
      <t>b</t>
    </r>
    <r>
      <rPr>
        <sz val="11"/>
        <color theme="1"/>
        <rFont val="Calibri"/>
        <family val="2"/>
        <scheme val="minor"/>
      </rPr>
      <t>2</t>
    </r>
  </si>
  <si>
    <r>
      <t>P2=h</t>
    </r>
    <r>
      <rPr>
        <vertAlign val="subscript"/>
        <sz val="11"/>
        <color theme="1"/>
        <rFont val="Calibri"/>
        <family val="2"/>
        <scheme val="minor"/>
      </rPr>
      <t>o</t>
    </r>
    <r>
      <rPr>
        <sz val="11"/>
        <color theme="1"/>
        <rFont val="Calibri"/>
        <family val="2"/>
        <scheme val="minor"/>
      </rPr>
      <t>/L2=</t>
    </r>
  </si>
  <si>
    <r>
      <t>h</t>
    </r>
    <r>
      <rPr>
        <vertAlign val="subscript"/>
        <sz val="11"/>
        <color theme="1"/>
        <rFont val="Calibri"/>
        <family val="2"/>
        <scheme val="minor"/>
      </rPr>
      <t>wall</t>
    </r>
  </si>
  <si>
    <t>Lo1</t>
  </si>
  <si>
    <t>Lo2</t>
  </si>
  <si>
    <r>
      <t>P3=h</t>
    </r>
    <r>
      <rPr>
        <vertAlign val="subscript"/>
        <sz val="11"/>
        <color theme="1"/>
        <rFont val="Calibri"/>
        <family val="2"/>
        <scheme val="minor"/>
      </rPr>
      <t>o</t>
    </r>
    <r>
      <rPr>
        <sz val="11"/>
        <color theme="1"/>
        <rFont val="Calibri"/>
        <family val="2"/>
        <scheme val="minor"/>
      </rPr>
      <t>/L3=</t>
    </r>
  </si>
  <si>
    <r>
      <t>L</t>
    </r>
    <r>
      <rPr>
        <vertAlign val="subscript"/>
        <sz val="11"/>
        <color theme="1"/>
        <rFont val="Calibri"/>
        <family val="2"/>
        <scheme val="minor"/>
      </rPr>
      <t>wall</t>
    </r>
  </si>
  <si>
    <r>
      <t>1. Hold-down forces: H = Vh</t>
    </r>
    <r>
      <rPr>
        <b/>
        <vertAlign val="subscript"/>
        <sz val="11"/>
        <color theme="1"/>
        <rFont val="Calibri"/>
        <family val="2"/>
        <scheme val="minor"/>
      </rPr>
      <t>wall</t>
    </r>
    <r>
      <rPr>
        <b/>
        <sz val="11"/>
        <color theme="1"/>
        <rFont val="Calibri"/>
        <family val="2"/>
        <scheme val="minor"/>
      </rPr>
      <t>/L</t>
    </r>
    <r>
      <rPr>
        <b/>
        <vertAlign val="subscript"/>
        <sz val="11"/>
        <color theme="1"/>
        <rFont val="Calibri"/>
        <family val="2"/>
        <scheme val="minor"/>
      </rPr>
      <t>wall</t>
    </r>
  </si>
  <si>
    <t>6. Unit shear beside opening</t>
  </si>
  <si>
    <t>2. Unit shear above + below opening</t>
  </si>
  <si>
    <t>v1 = (V/L)(L1+T1)/L1 =</t>
  </si>
  <si>
    <r>
      <t>First opening: va1 = vb1 = H/(h</t>
    </r>
    <r>
      <rPr>
        <vertAlign val="subscript"/>
        <sz val="11"/>
        <color theme="1"/>
        <rFont val="Calibri"/>
        <family val="2"/>
        <scheme val="minor"/>
      </rPr>
      <t>a</t>
    </r>
    <r>
      <rPr>
        <sz val="11"/>
        <color theme="1"/>
        <rFont val="Calibri"/>
        <family val="2"/>
        <scheme val="minor"/>
      </rPr>
      <t>1+h</t>
    </r>
    <r>
      <rPr>
        <vertAlign val="subscript"/>
        <sz val="11"/>
        <color theme="1"/>
        <rFont val="Calibri"/>
        <family val="2"/>
        <scheme val="minor"/>
      </rPr>
      <t>b</t>
    </r>
    <r>
      <rPr>
        <sz val="11"/>
        <color theme="1"/>
        <rFont val="Calibri"/>
        <family val="2"/>
        <scheme val="minor"/>
      </rPr>
      <t>1) =</t>
    </r>
  </si>
  <si>
    <t>v2 = (V/L)(T2+L2+T3)/L2 =</t>
  </si>
  <si>
    <r>
      <t>Second opening: va2 = vb2 = H/(h</t>
    </r>
    <r>
      <rPr>
        <vertAlign val="subscript"/>
        <sz val="11"/>
        <color theme="1"/>
        <rFont val="Calibri"/>
        <family val="2"/>
        <scheme val="minor"/>
      </rPr>
      <t>a</t>
    </r>
    <r>
      <rPr>
        <sz val="11"/>
        <color theme="1"/>
        <rFont val="Calibri"/>
        <family val="2"/>
        <scheme val="minor"/>
      </rPr>
      <t>2+h</t>
    </r>
    <r>
      <rPr>
        <vertAlign val="subscript"/>
        <sz val="11"/>
        <color theme="1"/>
        <rFont val="Calibri"/>
        <family val="2"/>
        <scheme val="minor"/>
      </rPr>
      <t>b</t>
    </r>
    <r>
      <rPr>
        <sz val="11"/>
        <color theme="1"/>
        <rFont val="Calibri"/>
        <family val="2"/>
        <scheme val="minor"/>
      </rPr>
      <t>2) =</t>
    </r>
  </si>
  <si>
    <t>v3 = (V/L)(T4+L3)/L3 =</t>
  </si>
  <si>
    <t>Check v1*L1+v2*L2+v3*L3=V?</t>
  </si>
  <si>
    <t>3. Total boundary force above + below openings</t>
  </si>
  <si>
    <t>First opening: O1 = va1 x (Lo1) =</t>
  </si>
  <si>
    <t>7. Resistance to corner forces</t>
  </si>
  <si>
    <t>Second opening: O2 = va2 x (Lo2) =</t>
  </si>
  <si>
    <t>R1 = v1*L1 =</t>
  </si>
  <si>
    <t>R2 = v2*L2 =</t>
  </si>
  <si>
    <t>4. Corner forces</t>
  </si>
  <si>
    <t>R3 = v3*L3 =</t>
  </si>
  <si>
    <t>F1 = O1(L1)/(L1+L2) =</t>
  </si>
  <si>
    <t>F2 = O1(L2)/(L1+L2) =</t>
  </si>
  <si>
    <t>8. Difference corner force + resistance</t>
  </si>
  <si>
    <t>F3 = O2(L2)/(L2+L3) =</t>
  </si>
  <si>
    <t>R1-F1 =</t>
  </si>
  <si>
    <t>F4 = O2(L3)/(L2+L3) =</t>
  </si>
  <si>
    <t>R2-F2-F3 =</t>
  </si>
  <si>
    <t>R3-F4 =</t>
  </si>
  <si>
    <t>5. Tributary length of openings</t>
  </si>
  <si>
    <t>T1 = (L1*Lo1)/(L1+L2) =</t>
  </si>
  <si>
    <t>9. Unit shear in corner zones</t>
  </si>
  <si>
    <t>T2 = (L2*Lo1)/(L1+L2) =</t>
  </si>
  <si>
    <t>vc1 = (R1-F1)/L1 =</t>
  </si>
  <si>
    <t>T3 = (L2*Lo2)/(L2+L3) =</t>
  </si>
  <si>
    <t>vc2 = (R2-F2-F3)/L2 =</t>
  </si>
  <si>
    <t>T4 = (L3*Lo2)/(L2+L3) =</t>
  </si>
  <si>
    <t>vc3 = (R3-F4)/L3 =</t>
  </si>
  <si>
    <t>Check Summary of Shear Values for Two Openings</t>
  </si>
  <si>
    <r>
      <t>Line 1: vc1(h</t>
    </r>
    <r>
      <rPr>
        <vertAlign val="subscript"/>
        <sz val="11"/>
        <color theme="1"/>
        <rFont val="Calibri"/>
        <family val="2"/>
        <scheme val="minor"/>
      </rPr>
      <t>a</t>
    </r>
    <r>
      <rPr>
        <sz val="11"/>
        <color theme="1"/>
        <rFont val="Calibri"/>
        <family val="2"/>
        <scheme val="minor"/>
      </rPr>
      <t>1+h</t>
    </r>
    <r>
      <rPr>
        <vertAlign val="subscript"/>
        <sz val="11"/>
        <color theme="1"/>
        <rFont val="Calibri"/>
        <family val="2"/>
        <scheme val="minor"/>
      </rPr>
      <t>b</t>
    </r>
    <r>
      <rPr>
        <sz val="11"/>
        <color theme="1"/>
        <rFont val="Calibri"/>
        <family val="2"/>
        <scheme val="minor"/>
      </rPr>
      <t>1)+v1(h</t>
    </r>
    <r>
      <rPr>
        <vertAlign val="subscript"/>
        <sz val="11"/>
        <color theme="1"/>
        <rFont val="Calibri"/>
        <family val="2"/>
        <scheme val="minor"/>
      </rPr>
      <t>o</t>
    </r>
    <r>
      <rPr>
        <sz val="11"/>
        <color theme="1"/>
        <rFont val="Calibri"/>
        <family val="2"/>
        <scheme val="minor"/>
      </rPr>
      <t>1)=H?</t>
    </r>
  </si>
  <si>
    <r>
      <t>Line 2: va1(h</t>
    </r>
    <r>
      <rPr>
        <vertAlign val="subscript"/>
        <sz val="11"/>
        <color theme="1"/>
        <rFont val="Calibri"/>
        <family val="2"/>
        <scheme val="minor"/>
      </rPr>
      <t>a</t>
    </r>
    <r>
      <rPr>
        <sz val="11"/>
        <color theme="1"/>
        <rFont val="Calibri"/>
        <family val="2"/>
        <scheme val="minor"/>
      </rPr>
      <t>1+h</t>
    </r>
    <r>
      <rPr>
        <vertAlign val="subscript"/>
        <sz val="11"/>
        <color theme="1"/>
        <rFont val="Calibri"/>
        <family val="2"/>
        <scheme val="minor"/>
      </rPr>
      <t>b</t>
    </r>
    <r>
      <rPr>
        <sz val="11"/>
        <color theme="1"/>
        <rFont val="Calibri"/>
        <family val="2"/>
        <scheme val="minor"/>
      </rPr>
      <t>1)-vc1(h</t>
    </r>
    <r>
      <rPr>
        <vertAlign val="subscript"/>
        <sz val="11"/>
        <color theme="1"/>
        <rFont val="Calibri"/>
        <family val="2"/>
        <scheme val="minor"/>
      </rPr>
      <t>a</t>
    </r>
    <r>
      <rPr>
        <sz val="11"/>
        <color theme="1"/>
        <rFont val="Calibri"/>
        <family val="2"/>
        <scheme val="minor"/>
      </rPr>
      <t>1+h</t>
    </r>
    <r>
      <rPr>
        <vertAlign val="subscript"/>
        <sz val="11"/>
        <color theme="1"/>
        <rFont val="Calibri"/>
        <family val="2"/>
        <scheme val="minor"/>
      </rPr>
      <t>b</t>
    </r>
    <r>
      <rPr>
        <sz val="11"/>
        <color theme="1"/>
        <rFont val="Calibri"/>
        <family val="2"/>
        <scheme val="minor"/>
      </rPr>
      <t>1)-v1(h</t>
    </r>
    <r>
      <rPr>
        <vertAlign val="subscript"/>
        <sz val="11"/>
        <color theme="1"/>
        <rFont val="Calibri"/>
        <family val="2"/>
        <scheme val="minor"/>
      </rPr>
      <t>o</t>
    </r>
    <r>
      <rPr>
        <sz val="11"/>
        <color theme="1"/>
        <rFont val="Calibri"/>
        <family val="2"/>
        <scheme val="minor"/>
      </rPr>
      <t>1)=0?</t>
    </r>
  </si>
  <si>
    <r>
      <t>Line 3: vc2(h</t>
    </r>
    <r>
      <rPr>
        <vertAlign val="subscript"/>
        <sz val="11"/>
        <color theme="1"/>
        <rFont val="Calibri"/>
        <family val="2"/>
        <scheme val="minor"/>
      </rPr>
      <t>a</t>
    </r>
    <r>
      <rPr>
        <sz val="11"/>
        <color theme="1"/>
        <rFont val="Calibri"/>
        <family val="2"/>
        <scheme val="minor"/>
      </rPr>
      <t>1+h</t>
    </r>
    <r>
      <rPr>
        <vertAlign val="subscript"/>
        <sz val="11"/>
        <color theme="1"/>
        <rFont val="Calibri"/>
        <family val="2"/>
        <scheme val="minor"/>
      </rPr>
      <t>b</t>
    </r>
    <r>
      <rPr>
        <sz val="11"/>
        <color theme="1"/>
        <rFont val="Calibri"/>
        <family val="2"/>
        <scheme val="minor"/>
      </rPr>
      <t>1)+v2(h</t>
    </r>
    <r>
      <rPr>
        <vertAlign val="subscript"/>
        <sz val="11"/>
        <color theme="1"/>
        <rFont val="Calibri"/>
        <family val="2"/>
        <scheme val="minor"/>
      </rPr>
      <t>o</t>
    </r>
    <r>
      <rPr>
        <sz val="11"/>
        <color theme="1"/>
        <rFont val="Calibri"/>
        <family val="2"/>
        <scheme val="minor"/>
      </rPr>
      <t>1)-va1(h</t>
    </r>
    <r>
      <rPr>
        <vertAlign val="subscript"/>
        <sz val="11"/>
        <color theme="1"/>
        <rFont val="Calibri"/>
        <family val="2"/>
        <scheme val="minor"/>
      </rPr>
      <t>a</t>
    </r>
    <r>
      <rPr>
        <sz val="11"/>
        <color theme="1"/>
        <rFont val="Calibri"/>
        <family val="2"/>
        <scheme val="minor"/>
      </rPr>
      <t>1+h</t>
    </r>
    <r>
      <rPr>
        <vertAlign val="subscript"/>
        <sz val="11"/>
        <color theme="1"/>
        <rFont val="Calibri"/>
        <family val="2"/>
        <scheme val="minor"/>
      </rPr>
      <t>b</t>
    </r>
    <r>
      <rPr>
        <sz val="11"/>
        <color theme="1"/>
        <rFont val="Calibri"/>
        <family val="2"/>
        <scheme val="minor"/>
      </rPr>
      <t>1)=0?</t>
    </r>
  </si>
  <si>
    <r>
      <t>Line 4: va2(h</t>
    </r>
    <r>
      <rPr>
        <vertAlign val="subscript"/>
        <sz val="11"/>
        <color theme="1"/>
        <rFont val="Calibri"/>
        <family val="2"/>
        <scheme val="minor"/>
      </rPr>
      <t>a</t>
    </r>
    <r>
      <rPr>
        <sz val="11"/>
        <color theme="1"/>
        <rFont val="Calibri"/>
        <family val="2"/>
        <scheme val="minor"/>
      </rPr>
      <t>2+h</t>
    </r>
    <r>
      <rPr>
        <vertAlign val="subscript"/>
        <sz val="11"/>
        <color theme="1"/>
        <rFont val="Calibri"/>
        <family val="2"/>
        <scheme val="minor"/>
      </rPr>
      <t>b</t>
    </r>
    <r>
      <rPr>
        <sz val="11"/>
        <color theme="1"/>
        <rFont val="Calibri"/>
        <family val="2"/>
        <scheme val="minor"/>
      </rPr>
      <t>2)-v2(h</t>
    </r>
    <r>
      <rPr>
        <vertAlign val="subscript"/>
        <sz val="11"/>
        <color theme="1"/>
        <rFont val="Calibri"/>
        <family val="2"/>
        <scheme val="minor"/>
      </rPr>
      <t>o</t>
    </r>
    <r>
      <rPr>
        <sz val="11"/>
        <color theme="1"/>
        <rFont val="Calibri"/>
        <family val="2"/>
        <scheme val="minor"/>
      </rPr>
      <t>2)-vc2(h</t>
    </r>
    <r>
      <rPr>
        <vertAlign val="subscript"/>
        <sz val="11"/>
        <color theme="1"/>
        <rFont val="Calibri"/>
        <family val="2"/>
        <scheme val="minor"/>
      </rPr>
      <t>a</t>
    </r>
    <r>
      <rPr>
        <sz val="11"/>
        <color theme="1"/>
        <rFont val="Calibri"/>
        <family val="2"/>
        <scheme val="minor"/>
      </rPr>
      <t>2+h</t>
    </r>
    <r>
      <rPr>
        <vertAlign val="subscript"/>
        <sz val="11"/>
        <color theme="1"/>
        <rFont val="Calibri"/>
        <family val="2"/>
        <scheme val="minor"/>
      </rPr>
      <t>b</t>
    </r>
    <r>
      <rPr>
        <sz val="11"/>
        <color theme="1"/>
        <rFont val="Calibri"/>
        <family val="2"/>
        <scheme val="minor"/>
      </rPr>
      <t>2)=0?</t>
    </r>
  </si>
  <si>
    <r>
      <t>Line 5: va2(h</t>
    </r>
    <r>
      <rPr>
        <vertAlign val="subscript"/>
        <sz val="11"/>
        <color theme="1"/>
        <rFont val="Calibri"/>
        <family val="2"/>
        <scheme val="minor"/>
      </rPr>
      <t>a</t>
    </r>
    <r>
      <rPr>
        <sz val="11"/>
        <color theme="1"/>
        <rFont val="Calibri"/>
        <family val="2"/>
        <scheme val="minor"/>
      </rPr>
      <t>2+h</t>
    </r>
    <r>
      <rPr>
        <vertAlign val="subscript"/>
        <sz val="11"/>
        <color theme="1"/>
        <rFont val="Calibri"/>
        <family val="2"/>
        <scheme val="minor"/>
      </rPr>
      <t>b</t>
    </r>
    <r>
      <rPr>
        <sz val="11"/>
        <color theme="1"/>
        <rFont val="Calibri"/>
        <family val="2"/>
        <scheme val="minor"/>
      </rPr>
      <t>2)-vc3(h</t>
    </r>
    <r>
      <rPr>
        <vertAlign val="subscript"/>
        <sz val="11"/>
        <color theme="1"/>
        <rFont val="Calibri"/>
        <family val="2"/>
        <scheme val="minor"/>
      </rPr>
      <t>a</t>
    </r>
    <r>
      <rPr>
        <sz val="11"/>
        <color theme="1"/>
        <rFont val="Calibri"/>
        <family val="2"/>
        <scheme val="minor"/>
      </rPr>
      <t>2+h</t>
    </r>
    <r>
      <rPr>
        <vertAlign val="subscript"/>
        <sz val="11"/>
        <color theme="1"/>
        <rFont val="Calibri"/>
        <family val="2"/>
        <scheme val="minor"/>
      </rPr>
      <t>b</t>
    </r>
    <r>
      <rPr>
        <sz val="11"/>
        <color theme="1"/>
        <rFont val="Calibri"/>
        <family val="2"/>
        <scheme val="minor"/>
      </rPr>
      <t>2)-v3(h</t>
    </r>
    <r>
      <rPr>
        <vertAlign val="subscript"/>
        <sz val="11"/>
        <color theme="1"/>
        <rFont val="Calibri"/>
        <family val="2"/>
        <scheme val="minor"/>
      </rPr>
      <t>o</t>
    </r>
    <r>
      <rPr>
        <sz val="11"/>
        <color theme="1"/>
        <rFont val="Calibri"/>
        <family val="2"/>
        <scheme val="minor"/>
      </rPr>
      <t>2)=0?</t>
    </r>
  </si>
  <si>
    <r>
      <t>Line 6: vc3(h</t>
    </r>
    <r>
      <rPr>
        <vertAlign val="subscript"/>
        <sz val="11"/>
        <color theme="1"/>
        <rFont val="Calibri"/>
        <family val="2"/>
        <scheme val="minor"/>
      </rPr>
      <t>a</t>
    </r>
    <r>
      <rPr>
        <sz val="11"/>
        <color theme="1"/>
        <rFont val="Calibri"/>
        <family val="2"/>
        <scheme val="minor"/>
      </rPr>
      <t>2+h</t>
    </r>
    <r>
      <rPr>
        <vertAlign val="subscript"/>
        <sz val="11"/>
        <color theme="1"/>
        <rFont val="Calibri"/>
        <family val="2"/>
        <scheme val="minor"/>
      </rPr>
      <t>b</t>
    </r>
    <r>
      <rPr>
        <sz val="11"/>
        <color theme="1"/>
        <rFont val="Calibri"/>
        <family val="2"/>
        <scheme val="minor"/>
      </rPr>
      <t>2)+ v3(h</t>
    </r>
    <r>
      <rPr>
        <vertAlign val="subscript"/>
        <sz val="11"/>
        <color theme="1"/>
        <rFont val="Calibri"/>
        <family val="2"/>
        <scheme val="minor"/>
      </rPr>
      <t>o</t>
    </r>
    <r>
      <rPr>
        <sz val="11"/>
        <color theme="1"/>
        <rFont val="Calibri"/>
        <family val="2"/>
        <scheme val="minor"/>
      </rPr>
      <t>2) = H?</t>
    </r>
  </si>
  <si>
    <t>Design Summary*</t>
  </si>
  <si>
    <t>Req. Sheathing Capacity</t>
  </si>
  <si>
    <t>4-Term Deflection</t>
  </si>
  <si>
    <t>3-Term Deflection</t>
  </si>
  <si>
    <t>Req. Strap Force</t>
  </si>
  <si>
    <t>4-Term Story Drift %</t>
  </si>
  <si>
    <t>3-Term Story Drift %</t>
  </si>
  <si>
    <t>Req. HD Force</t>
  </si>
  <si>
    <t>Req. Shear Wall Anchorage Force</t>
  </si>
  <si>
    <t xml:space="preserve">*The Design Summary assumes that the shear wall is designed as blocked. </t>
  </si>
  <si>
    <t>Shear Wall Deflection Calculation Variables</t>
  </si>
  <si>
    <r>
      <t>Unfactored Shear Load V</t>
    </r>
    <r>
      <rPr>
        <vertAlign val="subscript"/>
        <sz val="11"/>
        <color theme="1"/>
        <rFont val="Calibri"/>
        <family val="2"/>
        <scheme val="minor"/>
      </rPr>
      <t>unfactored</t>
    </r>
    <r>
      <rPr>
        <sz val="11"/>
        <color theme="1"/>
        <rFont val="Calibri"/>
        <family val="2"/>
        <scheme val="minor"/>
      </rPr>
      <t>:</t>
    </r>
  </si>
  <si>
    <t>(lbf)</t>
  </si>
  <si>
    <t>Design Example note: The Design Example assumes the Applied Load (V) is a seismic load and the ASD method is utilized.  
Based on this assumption, the Unfactored Shear Load is the Applied Load divided by 0.7 to determine the unfactored load.</t>
  </si>
  <si>
    <t>Wood End Post Values:</t>
  </si>
  <si>
    <t>Nail Type:</t>
  </si>
  <si>
    <t>8d common</t>
  </si>
  <si>
    <t>(penny weight)</t>
  </si>
  <si>
    <t>Sheathing Type:</t>
  </si>
  <si>
    <t>15/32 OSB</t>
  </si>
  <si>
    <t>Species:</t>
  </si>
  <si>
    <t>Douglas Fir-Larch No. 2</t>
  </si>
  <si>
    <t>Grade:</t>
  </si>
  <si>
    <t>APA Rated Sheathing</t>
  </si>
  <si>
    <t>E:</t>
  </si>
  <si>
    <t>(psi)</t>
  </si>
  <si>
    <t>Pier 1</t>
  </si>
  <si>
    <t>Pier 3</t>
  </si>
  <si>
    <t>Pier 2</t>
  </si>
  <si>
    <t>Nail Spacing:</t>
  </si>
  <si>
    <t>(in.)</t>
  </si>
  <si>
    <t>Enter individual post sizes below.</t>
  </si>
  <si>
    <t>HD Capacity:</t>
  </si>
  <si>
    <r>
      <t>G</t>
    </r>
    <r>
      <rPr>
        <vertAlign val="subscript"/>
        <sz val="11"/>
        <color theme="1"/>
        <rFont val="Calibri"/>
        <family val="2"/>
        <scheme val="minor"/>
      </rPr>
      <t>t</t>
    </r>
    <r>
      <rPr>
        <sz val="11"/>
        <color theme="1"/>
        <rFont val="Calibri"/>
        <family val="2"/>
        <scheme val="minor"/>
      </rPr>
      <t xml:space="preserve"> Override:</t>
    </r>
  </si>
  <si>
    <t>HD Deflection:</t>
  </si>
  <si>
    <r>
      <t>G</t>
    </r>
    <r>
      <rPr>
        <vertAlign val="subscript"/>
        <sz val="11"/>
        <color theme="1"/>
        <rFont val="Calibri"/>
        <family val="2"/>
        <scheme val="minor"/>
      </rPr>
      <t>a</t>
    </r>
    <r>
      <rPr>
        <sz val="11"/>
        <color theme="1"/>
        <rFont val="Calibri"/>
        <family val="2"/>
        <scheme val="minor"/>
      </rPr>
      <t xml:space="preserve"> Override:</t>
    </r>
  </si>
  <si>
    <r>
      <t>C</t>
    </r>
    <r>
      <rPr>
        <vertAlign val="subscript"/>
        <sz val="11"/>
        <color theme="1"/>
        <rFont val="Calibri"/>
        <family val="2"/>
        <scheme val="minor"/>
      </rPr>
      <t>d</t>
    </r>
    <r>
      <rPr>
        <sz val="11"/>
        <color theme="1"/>
        <rFont val="Calibri"/>
        <family val="2"/>
        <scheme val="minor"/>
      </rPr>
      <t>:</t>
    </r>
  </si>
  <si>
    <t>Four-Term Equation Deflection Check</t>
  </si>
  <si>
    <t>Pier 1-L</t>
  </si>
  <si>
    <t>Pier 1-R</t>
  </si>
  <si>
    <t>Pier 2-L</t>
  </si>
  <si>
    <t>Pier 2-R</t>
  </si>
  <si>
    <t>Pier 3-L</t>
  </si>
  <si>
    <t>Pier 3-R</t>
  </si>
  <si>
    <r>
      <t>v</t>
    </r>
    <r>
      <rPr>
        <vertAlign val="subscript"/>
        <sz val="11"/>
        <color theme="1"/>
        <rFont val="Calibri"/>
        <family val="2"/>
        <scheme val="minor"/>
      </rPr>
      <t>unfactored</t>
    </r>
    <r>
      <rPr>
        <sz val="11"/>
        <color theme="1"/>
        <rFont val="Calibri"/>
        <family val="2"/>
        <scheme val="minor"/>
      </rPr>
      <t>:</t>
    </r>
  </si>
  <si>
    <t>(plf)</t>
  </si>
  <si>
    <t>h:</t>
  </si>
  <si>
    <t>(ft)</t>
  </si>
  <si>
    <t>Qty:</t>
  </si>
  <si>
    <t>Stud Size:</t>
  </si>
  <si>
    <t>2x6</t>
  </si>
  <si>
    <t>A Override:</t>
  </si>
  <si>
    <r>
      <t>(in.</t>
    </r>
    <r>
      <rPr>
        <vertAlign val="superscript"/>
        <sz val="11"/>
        <color theme="1"/>
        <rFont val="Calibri"/>
        <family val="2"/>
        <scheme val="minor"/>
      </rPr>
      <t>2</t>
    </r>
    <r>
      <rPr>
        <sz val="11"/>
        <color theme="1"/>
        <rFont val="Calibri"/>
        <family val="2"/>
        <scheme val="minor"/>
      </rPr>
      <t>)</t>
    </r>
  </si>
  <si>
    <t>A:</t>
  </si>
  <si>
    <r>
      <t>G</t>
    </r>
    <r>
      <rPr>
        <vertAlign val="subscript"/>
        <sz val="11"/>
        <color theme="1"/>
        <rFont val="Calibri"/>
        <family val="2"/>
        <scheme val="minor"/>
      </rPr>
      <t>t</t>
    </r>
    <r>
      <rPr>
        <sz val="11"/>
        <color theme="1"/>
        <rFont val="Calibri"/>
        <family val="2"/>
        <scheme val="minor"/>
      </rPr>
      <t>:</t>
    </r>
  </si>
  <si>
    <t>(lbf/in.)</t>
  </si>
  <si>
    <r>
      <t>V</t>
    </r>
    <r>
      <rPr>
        <vertAlign val="subscript"/>
        <sz val="11"/>
        <color theme="1"/>
        <rFont val="Calibri"/>
        <family val="2"/>
        <scheme val="minor"/>
      </rPr>
      <t>n</t>
    </r>
    <r>
      <rPr>
        <sz val="11"/>
        <color theme="1"/>
        <rFont val="Calibri"/>
        <family val="2"/>
        <scheme val="minor"/>
      </rPr>
      <t>:</t>
    </r>
  </si>
  <si>
    <r>
      <t>e</t>
    </r>
    <r>
      <rPr>
        <vertAlign val="subscript"/>
        <sz val="11"/>
        <color theme="1"/>
        <rFont val="Calibri"/>
        <family val="2"/>
        <scheme val="minor"/>
      </rPr>
      <t>n</t>
    </r>
    <r>
      <rPr>
        <sz val="11"/>
        <color theme="1"/>
        <rFont val="Calibri"/>
        <family val="2"/>
        <scheme val="minor"/>
      </rPr>
      <t>:</t>
    </r>
  </si>
  <si>
    <t>b:</t>
  </si>
  <si>
    <t>HD Defl:</t>
  </si>
  <si>
    <t>Check Total Deflection of Wall System</t>
  </si>
  <si>
    <t>Pier 1 (left)</t>
  </si>
  <si>
    <t>Pier 1 (right)</t>
  </si>
  <si>
    <t>Term 1</t>
  </si>
  <si>
    <t>Term 2</t>
  </si>
  <si>
    <t>Term 3</t>
  </si>
  <si>
    <t>Term 4</t>
  </si>
  <si>
    <t>Bending</t>
  </si>
  <si>
    <t>Shear</t>
  </si>
  <si>
    <t>Fastener</t>
  </si>
  <si>
    <t>HD-1</t>
  </si>
  <si>
    <t>HD-2</t>
  </si>
  <si>
    <t>Sum</t>
  </si>
  <si>
    <t>Pier 2 (left)</t>
  </si>
  <si>
    <t>Pier 2 (right)</t>
  </si>
  <si>
    <t>Total</t>
  </si>
  <si>
    <t>Defl.</t>
  </si>
  <si>
    <t>Pier 3 (left)</t>
  </si>
  <si>
    <t>Pier 3 (right)</t>
  </si>
  <si>
    <t>%drift</t>
  </si>
  <si>
    <t>Three-Term Equation Deflection Check</t>
  </si>
  <si>
    <r>
      <t>G</t>
    </r>
    <r>
      <rPr>
        <vertAlign val="subscript"/>
        <sz val="11"/>
        <color theme="1"/>
        <rFont val="Calibri"/>
        <family val="2"/>
        <scheme val="minor"/>
      </rPr>
      <t>a</t>
    </r>
    <r>
      <rPr>
        <sz val="11"/>
        <color theme="1"/>
        <rFont val="Calibri"/>
        <family val="2"/>
        <scheme val="minor"/>
      </rPr>
      <t>:</t>
    </r>
  </si>
  <si>
    <t>(kips/in.)</t>
  </si>
  <si>
    <t xml:space="preserve">Comment: The 3-term equation is calibrated to be approximately equal to 4-term equation at 1.4*ASD capacity.  </t>
  </si>
  <si>
    <r>
      <rPr>
        <b/>
        <i/>
        <sz val="9"/>
        <color theme="1"/>
        <rFont val="Calibri"/>
        <family val="2"/>
        <scheme val="minor"/>
      </rPr>
      <t>Interpretation and Definitions</t>
    </r>
    <r>
      <rPr>
        <i/>
        <sz val="9"/>
        <color theme="1"/>
        <rFont val="Calibri"/>
        <family val="2"/>
        <scheme val="minor"/>
      </rPr>
      <t xml:space="preserve">
Interpretation - The words of which the initial letter is capitalized have meanings as defined below and shall have the same meaning regardless of whether they appear in singular or in plural.
Definitions - For the purposes of this Disclaimer:
•Association (referred to as either "APA”, “the Association", "We", "Us" or "Our" in this Disclaimer) refers to APA – The Engineered Wood Association, 7011 S. 19th Street, Tacoma, WA 98466-5333.
•You means the individual accessing the APA Tool, or the other legal entity on behalf of which such individual is accessing or using the Tool, as applicable.
•APA Website refers to https://www.apawood.org (APA – The Engineered Wood Association).
•Tool refers to the APA Force Transfer Around Openings calculator available on the APA Website. 
</t>
    </r>
    <r>
      <rPr>
        <b/>
        <i/>
        <sz val="9"/>
        <color theme="1"/>
        <rFont val="Calibri"/>
        <family val="2"/>
        <scheme val="minor"/>
      </rPr>
      <t>Disclaimer</t>
    </r>
    <r>
      <rPr>
        <i/>
        <sz val="9"/>
        <color theme="1"/>
        <rFont val="Calibri"/>
        <family val="2"/>
        <scheme val="minor"/>
      </rPr>
      <t xml:space="preserve">
The information contained in the Tool is for general information purposes only.
The Association assumes no responsibility for errors or omissions in the contents of the Tool.
In no event shall the Association be liable for any special, direct, indirect, consequential, or incidental damages or any damages whatsoever, whether in an action of contract, negligence or other tort, arising out of or in connection with the use of the Tool or the contents of the Tool. The Association reserves the right to make additions, deletions, or modifications to the contents in the Tool at any time without prior notice. 
The Association does not warrant that the Tool is free of viruses or other harmful components.
</t>
    </r>
    <r>
      <rPr>
        <b/>
        <i/>
        <sz val="9"/>
        <color theme="1"/>
        <rFont val="Calibri"/>
        <family val="2"/>
        <scheme val="minor"/>
      </rPr>
      <t>External Links Disclaimer</t>
    </r>
    <r>
      <rPr>
        <i/>
        <sz val="9"/>
        <color theme="1"/>
        <rFont val="Calibri"/>
        <family val="2"/>
        <scheme val="minor"/>
      </rPr>
      <t xml:space="preserve">
The Tool may contain links to external websites that are not provided or maintained by or in any way affiliated with the Association.
Please note that the Association does not guarantee the accuracy, relevance, timeliness, or completeness of any information on these external websites.
</t>
    </r>
    <r>
      <rPr>
        <b/>
        <i/>
        <sz val="9"/>
        <color theme="1"/>
        <rFont val="Calibri"/>
        <family val="2"/>
        <scheme val="minor"/>
      </rPr>
      <t>Errors and Omissions Disclaimer</t>
    </r>
    <r>
      <rPr>
        <i/>
        <sz val="9"/>
        <color theme="1"/>
        <rFont val="Calibri"/>
        <family val="2"/>
        <scheme val="minor"/>
      </rPr>
      <t xml:space="preserve">
The information given by the Tool is for general guidance on matters of interest only. Even if the Association takes every precaution to ensure that the content of the Tool is both current and accurate, errors can occur. Plus, given the changing nature of science, laws, rules and regulations, there may be delays, omissions or inaccuracies in the information contained in the Tool.
The Association is not responsible for any errors or omissions, or for the results obtained from the use of this information.
</t>
    </r>
    <r>
      <rPr>
        <b/>
        <i/>
        <sz val="9"/>
        <color theme="1"/>
        <rFont val="Calibri"/>
        <family val="2"/>
        <scheme val="minor"/>
      </rPr>
      <t>Fair Use Disclaimer</t>
    </r>
    <r>
      <rPr>
        <i/>
        <sz val="9"/>
        <color theme="1"/>
        <rFont val="Calibri"/>
        <family val="2"/>
        <scheme val="minor"/>
      </rPr>
      <t xml:space="preserve">
The Association may use copyrighted material which has not always been specifically authorized by the copyright owner. The Association is making such material available for criticism, comment, news reporting, teaching, scholarship, or research.
The Association believes this constitutes a "fair use" of any such copyrighted material as provided for in section 107 of the United States Copyright law.
If You wish to use copyrighted material from the Tool for your own purposes that go beyond fair use, You must obtain permission from the copyright owner.
</t>
    </r>
    <r>
      <rPr>
        <b/>
        <i/>
        <sz val="9"/>
        <color theme="1"/>
        <rFont val="Calibri"/>
        <family val="2"/>
        <scheme val="minor"/>
      </rPr>
      <t>Views Expressed Disclaimer</t>
    </r>
    <r>
      <rPr>
        <i/>
        <sz val="9"/>
        <color theme="1"/>
        <rFont val="Calibri"/>
        <family val="2"/>
        <scheme val="minor"/>
      </rPr>
      <t xml:space="preserve">
The Tool may contain views and opinions which are those of the authors and do not necessarily reflect the official policy or position of any other author, agency, organization, or employer, including the Association.
Comments published by users are their sole responsibility and the users will take full responsibility, liability and blame for any libel or litigation that results from something written in or as a direct result of something written in a comment. The Association is not liable for any comment published by users and reserve the right to delete any comment for any reason whatsoever.
</t>
    </r>
    <r>
      <rPr>
        <b/>
        <i/>
        <sz val="9"/>
        <color theme="1"/>
        <rFont val="Calibri"/>
        <family val="2"/>
        <scheme val="minor"/>
      </rPr>
      <t>No Responsibility Disclaimer</t>
    </r>
    <r>
      <rPr>
        <i/>
        <sz val="9"/>
        <color theme="1"/>
        <rFont val="Calibri"/>
        <family val="2"/>
        <scheme val="minor"/>
      </rPr>
      <t xml:space="preserve">
The information in the Tool is provided with the understanding that the Association is not engaged in rendering legal, accounting, tax, or other professional advice or services. As such, it should not be used as a substitute for consultation with professional accounting, tax, legal or other competent advisers. If you need professional advice, consult an appropriate professional.
In no event shall the Association or its suppliers be liable for any special, incidental, indirect, or consequential damages whatsoever arising out of or in connection with your access or use or inability to access or use the Tool.
</t>
    </r>
    <r>
      <rPr>
        <b/>
        <i/>
        <sz val="9"/>
        <color theme="1"/>
        <rFont val="Calibri"/>
        <family val="2"/>
        <scheme val="minor"/>
      </rPr>
      <t>"Use at Your Own Risk" Disclaimer</t>
    </r>
    <r>
      <rPr>
        <i/>
        <sz val="9"/>
        <color theme="1"/>
        <rFont val="Calibri"/>
        <family val="2"/>
        <scheme val="minor"/>
      </rPr>
      <t xml:space="preserve">
All information in the Tool is provided "as is", with no guarantee of completeness, accuracy, timeliness or of the results obtained from the use of this information, and without warranty of any kind, express or implied, including, but not limited to warranties of performance, merchantability and fitness for a particular purpose.
The Association will not be liable to You or anyone else for any decision made or action taken in reliance on the information given by the Tool or for any consequential, special or similar damages, even if advised of the possibility of such damages.
</t>
    </r>
    <r>
      <rPr>
        <b/>
        <i/>
        <sz val="9"/>
        <color theme="1"/>
        <rFont val="Calibri"/>
        <family val="2"/>
        <scheme val="minor"/>
      </rPr>
      <t>Contact Us</t>
    </r>
    <r>
      <rPr>
        <i/>
        <sz val="9"/>
        <color theme="1"/>
        <rFont val="Calibri"/>
        <family val="2"/>
        <scheme val="minor"/>
      </rPr>
      <t xml:space="preserve">
If you have any questions about this Disclaimer, You can contact Us:
•By email: help@apawood.org</t>
    </r>
  </si>
  <si>
    <r>
      <t>h</t>
    </r>
    <r>
      <rPr>
        <vertAlign val="subscript"/>
        <sz val="11"/>
        <color theme="1"/>
        <rFont val="Calibri"/>
        <family val="2"/>
        <scheme val="minor"/>
      </rPr>
      <t>a</t>
    </r>
  </si>
  <si>
    <r>
      <t>h</t>
    </r>
    <r>
      <rPr>
        <vertAlign val="subscript"/>
        <sz val="11"/>
        <color theme="1"/>
        <rFont val="Calibri"/>
        <family val="2"/>
        <scheme val="minor"/>
      </rPr>
      <t>o</t>
    </r>
  </si>
  <si>
    <r>
      <t>h</t>
    </r>
    <r>
      <rPr>
        <vertAlign val="subscript"/>
        <sz val="11"/>
        <color theme="1"/>
        <rFont val="Calibri"/>
        <family val="2"/>
        <scheme val="minor"/>
      </rPr>
      <t>b</t>
    </r>
  </si>
  <si>
    <t>v2 = (V/L)(T2+L2)/L2 =</t>
  </si>
  <si>
    <r>
      <t>First opening: va1 = vb1 = H/(h</t>
    </r>
    <r>
      <rPr>
        <vertAlign val="subscript"/>
        <sz val="11"/>
        <color theme="1"/>
        <rFont val="Calibri"/>
        <family val="2"/>
        <scheme val="minor"/>
      </rPr>
      <t>a</t>
    </r>
    <r>
      <rPr>
        <sz val="11"/>
        <color theme="1"/>
        <rFont val="Calibri"/>
        <family val="2"/>
        <scheme val="minor"/>
      </rPr>
      <t>+h</t>
    </r>
    <r>
      <rPr>
        <vertAlign val="subscript"/>
        <sz val="11"/>
        <color theme="1"/>
        <rFont val="Calibri"/>
        <family val="2"/>
        <scheme val="minor"/>
      </rPr>
      <t>b</t>
    </r>
    <r>
      <rPr>
        <sz val="11"/>
        <color theme="1"/>
        <rFont val="Calibri"/>
        <family val="2"/>
        <scheme val="minor"/>
      </rPr>
      <t>) =</t>
    </r>
  </si>
  <si>
    <t>Check v1*L1+v2*L2=V?</t>
  </si>
  <si>
    <t>R2-F2 =</t>
  </si>
  <si>
    <t>vc2 = (R2-F2)/L2 =</t>
  </si>
  <si>
    <t>Check Summary of Shear Values for One Opening</t>
  </si>
  <si>
    <r>
      <t>Line 1: vc1(h</t>
    </r>
    <r>
      <rPr>
        <vertAlign val="subscript"/>
        <sz val="11"/>
        <color theme="1"/>
        <rFont val="Calibri"/>
        <family val="2"/>
        <scheme val="minor"/>
      </rPr>
      <t>a</t>
    </r>
    <r>
      <rPr>
        <sz val="11"/>
        <color theme="1"/>
        <rFont val="Calibri"/>
        <family val="2"/>
        <scheme val="minor"/>
      </rPr>
      <t>+h</t>
    </r>
    <r>
      <rPr>
        <vertAlign val="subscript"/>
        <sz val="11"/>
        <color theme="1"/>
        <rFont val="Calibri"/>
        <family val="2"/>
        <scheme val="minor"/>
      </rPr>
      <t>b</t>
    </r>
    <r>
      <rPr>
        <sz val="11"/>
        <color theme="1"/>
        <rFont val="Calibri"/>
        <family val="2"/>
        <scheme val="minor"/>
      </rPr>
      <t>)+v1(h</t>
    </r>
    <r>
      <rPr>
        <vertAlign val="subscript"/>
        <sz val="11"/>
        <color theme="1"/>
        <rFont val="Calibri"/>
        <family val="2"/>
        <scheme val="minor"/>
      </rPr>
      <t>o</t>
    </r>
    <r>
      <rPr>
        <sz val="11"/>
        <color theme="1"/>
        <rFont val="Calibri"/>
        <family val="2"/>
        <scheme val="minor"/>
      </rPr>
      <t>)=H?</t>
    </r>
  </si>
  <si>
    <r>
      <t>Line 2: va1(h</t>
    </r>
    <r>
      <rPr>
        <vertAlign val="subscript"/>
        <sz val="11"/>
        <color theme="1"/>
        <rFont val="Calibri"/>
        <family val="2"/>
        <scheme val="minor"/>
      </rPr>
      <t>a</t>
    </r>
    <r>
      <rPr>
        <sz val="11"/>
        <color theme="1"/>
        <rFont val="Calibri"/>
        <family val="2"/>
        <scheme val="minor"/>
      </rPr>
      <t>+h</t>
    </r>
    <r>
      <rPr>
        <vertAlign val="subscript"/>
        <sz val="11"/>
        <color theme="1"/>
        <rFont val="Calibri"/>
        <family val="2"/>
        <scheme val="minor"/>
      </rPr>
      <t>b</t>
    </r>
    <r>
      <rPr>
        <sz val="11"/>
        <color theme="1"/>
        <rFont val="Calibri"/>
        <family val="2"/>
        <scheme val="minor"/>
      </rPr>
      <t>)-vc1(h</t>
    </r>
    <r>
      <rPr>
        <vertAlign val="subscript"/>
        <sz val="11"/>
        <color theme="1"/>
        <rFont val="Calibri"/>
        <family val="2"/>
        <scheme val="minor"/>
      </rPr>
      <t>a</t>
    </r>
    <r>
      <rPr>
        <sz val="11"/>
        <color theme="1"/>
        <rFont val="Calibri"/>
        <family val="2"/>
        <scheme val="minor"/>
      </rPr>
      <t>+h</t>
    </r>
    <r>
      <rPr>
        <vertAlign val="subscript"/>
        <sz val="11"/>
        <color theme="1"/>
        <rFont val="Calibri"/>
        <family val="2"/>
        <scheme val="minor"/>
      </rPr>
      <t>b</t>
    </r>
    <r>
      <rPr>
        <sz val="11"/>
        <color theme="1"/>
        <rFont val="Calibri"/>
        <family val="2"/>
        <scheme val="minor"/>
      </rPr>
      <t>)-v1(h</t>
    </r>
    <r>
      <rPr>
        <vertAlign val="subscript"/>
        <sz val="11"/>
        <color theme="1"/>
        <rFont val="Calibri"/>
        <family val="2"/>
        <scheme val="minor"/>
      </rPr>
      <t>o</t>
    </r>
    <r>
      <rPr>
        <sz val="11"/>
        <color theme="1"/>
        <rFont val="Calibri"/>
        <family val="2"/>
        <scheme val="minor"/>
      </rPr>
      <t>)=0?</t>
    </r>
  </si>
  <si>
    <r>
      <t>Line 3: va1(h</t>
    </r>
    <r>
      <rPr>
        <vertAlign val="subscript"/>
        <sz val="11"/>
        <color theme="1"/>
        <rFont val="Calibri"/>
        <family val="2"/>
        <scheme val="minor"/>
      </rPr>
      <t>a</t>
    </r>
    <r>
      <rPr>
        <sz val="11"/>
        <color theme="1"/>
        <rFont val="Calibri"/>
        <family val="2"/>
        <scheme val="minor"/>
      </rPr>
      <t>+h</t>
    </r>
    <r>
      <rPr>
        <vertAlign val="subscript"/>
        <sz val="11"/>
        <color theme="1"/>
        <rFont val="Calibri"/>
        <family val="2"/>
        <scheme val="minor"/>
      </rPr>
      <t>b</t>
    </r>
    <r>
      <rPr>
        <sz val="11"/>
        <color theme="1"/>
        <rFont val="Calibri"/>
        <family val="2"/>
        <scheme val="minor"/>
      </rPr>
      <t>)-vc2(h</t>
    </r>
    <r>
      <rPr>
        <vertAlign val="subscript"/>
        <sz val="11"/>
        <color theme="1"/>
        <rFont val="Calibri"/>
        <family val="2"/>
        <scheme val="minor"/>
      </rPr>
      <t>a</t>
    </r>
    <r>
      <rPr>
        <sz val="11"/>
        <color theme="1"/>
        <rFont val="Calibri"/>
        <family val="2"/>
        <scheme val="minor"/>
      </rPr>
      <t>+h</t>
    </r>
    <r>
      <rPr>
        <vertAlign val="subscript"/>
        <sz val="11"/>
        <color theme="1"/>
        <rFont val="Calibri"/>
        <family val="2"/>
        <scheme val="minor"/>
      </rPr>
      <t>b</t>
    </r>
    <r>
      <rPr>
        <sz val="11"/>
        <color theme="1"/>
        <rFont val="Calibri"/>
        <family val="2"/>
        <scheme val="minor"/>
      </rPr>
      <t>)-v1(h</t>
    </r>
    <r>
      <rPr>
        <vertAlign val="subscript"/>
        <sz val="11"/>
        <color theme="1"/>
        <rFont val="Calibri"/>
        <family val="2"/>
        <scheme val="minor"/>
      </rPr>
      <t>o</t>
    </r>
    <r>
      <rPr>
        <sz val="11"/>
        <color theme="1"/>
        <rFont val="Calibri"/>
        <family val="2"/>
        <scheme val="minor"/>
      </rPr>
      <t>)=0?</t>
    </r>
  </si>
  <si>
    <r>
      <t>Line 4: vc2(h</t>
    </r>
    <r>
      <rPr>
        <vertAlign val="subscript"/>
        <sz val="11"/>
        <color theme="1"/>
        <rFont val="Calibri"/>
        <family val="2"/>
        <scheme val="minor"/>
      </rPr>
      <t>a</t>
    </r>
    <r>
      <rPr>
        <sz val="11"/>
        <color theme="1"/>
        <rFont val="Calibri"/>
        <family val="2"/>
        <scheme val="minor"/>
      </rPr>
      <t>+h</t>
    </r>
    <r>
      <rPr>
        <vertAlign val="subscript"/>
        <sz val="11"/>
        <color theme="1"/>
        <rFont val="Calibri"/>
        <family val="2"/>
        <scheme val="minor"/>
      </rPr>
      <t>b</t>
    </r>
    <r>
      <rPr>
        <sz val="11"/>
        <color theme="1"/>
        <rFont val="Calibri"/>
        <family val="2"/>
        <scheme val="minor"/>
      </rPr>
      <t>)+v2(h</t>
    </r>
    <r>
      <rPr>
        <vertAlign val="subscript"/>
        <sz val="11"/>
        <color theme="1"/>
        <rFont val="Calibri"/>
        <family val="2"/>
        <scheme val="minor"/>
      </rPr>
      <t>o</t>
    </r>
    <r>
      <rPr>
        <sz val="11"/>
        <color theme="1"/>
        <rFont val="Calibri"/>
        <family val="2"/>
        <scheme val="minor"/>
      </rPr>
      <t>)=H?</t>
    </r>
  </si>
  <si>
    <t xml:space="preserve">Req. Sheathing Capacity </t>
  </si>
  <si>
    <t>Req. HD Force (H)</t>
  </si>
  <si>
    <r>
      <t>Req. Shear Wall Anchorage Force (v</t>
    </r>
    <r>
      <rPr>
        <b/>
        <vertAlign val="subscript"/>
        <sz val="11"/>
        <color theme="1"/>
        <rFont val="Calibri"/>
        <family val="2"/>
        <scheme val="minor"/>
      </rPr>
      <t>max</t>
    </r>
    <r>
      <rPr>
        <b/>
        <sz val="11"/>
        <color theme="1"/>
        <rFont val="Calibri"/>
        <family val="2"/>
        <scheme val="minor"/>
      </rPr>
      <t>)</t>
    </r>
  </si>
  <si>
    <r>
      <t>Unfactored Shear Load V</t>
    </r>
    <r>
      <rPr>
        <vertAlign val="subscript"/>
        <sz val="11"/>
        <color theme="1"/>
        <rFont val="Calibri"/>
        <family val="2"/>
        <scheme val="minor"/>
      </rPr>
      <t>unfactored</t>
    </r>
    <r>
      <rPr>
        <sz val="11"/>
        <color theme="1"/>
        <rFont val="Calibri"/>
        <family val="2"/>
        <scheme val="minor"/>
      </rPr>
      <t xml:space="preserve">: </t>
    </r>
  </si>
  <si>
    <r>
      <rPr>
        <b/>
        <i/>
        <sz val="9"/>
        <color theme="1"/>
        <rFont val="Calibri"/>
        <family val="2"/>
        <scheme val="minor"/>
      </rPr>
      <t>Interpretation and Definitions</t>
    </r>
    <r>
      <rPr>
        <i/>
        <sz val="9"/>
        <color theme="1"/>
        <rFont val="Calibri"/>
        <family val="2"/>
        <scheme val="minor"/>
      </rPr>
      <t xml:space="preserve">
Interpretation - The words of which the initial letter is capitalized have meanings as defined below and shall have the same meaning regardless of whether they appear in singular or in plural.
Definitions - For the purposes of this Disclaimer:
•Association (referred to as either "APA”, “the Association", "We", "Us" or "Our" in this Disclaimer) refers to APA – The Engineered Wood Association, 7011 S. 19th Street, Tacoma, WA 98466-5333.
•You means the individual accessing the APA Tool, or the other legal entity on behalf of which such individual is accessing or using the Tool, as applicable.
•APA Website refers to https://www.apawood.org (APA – The Engineered Wood Association).
•Tool refers to the APA Force Transfer Around Openings calculator available on the APA Website. 
</t>
    </r>
    <r>
      <rPr>
        <b/>
        <i/>
        <sz val="9"/>
        <color theme="1"/>
        <rFont val="Calibri"/>
        <family val="2"/>
        <scheme val="minor"/>
      </rPr>
      <t>Disclaimer</t>
    </r>
    <r>
      <rPr>
        <i/>
        <sz val="9"/>
        <color theme="1"/>
        <rFont val="Calibri"/>
        <family val="2"/>
        <scheme val="minor"/>
      </rPr>
      <t xml:space="preserve">
The information contained in the Tool is for general information purposes only.
The Association assumes no responsibility for errors or omissions in the contents of the Tool.
In no event shall the Association be liable for any special, direct, indirect, consequential, or incidental damages or any damages whatsoever, whether in an action of contract, negligence or other tort, arising out of or in connection with the use of the Tool or the contents of the Tool. The Association reserves the right to make additions, deletions, or modifications to the contents in the Tool at any time without prior notice. 
The Association does not warrant that the Tool is free of viruses or other harmful components.
</t>
    </r>
    <r>
      <rPr>
        <b/>
        <i/>
        <sz val="9"/>
        <color theme="1"/>
        <rFont val="Calibri"/>
        <family val="2"/>
        <scheme val="minor"/>
      </rPr>
      <t>External Links Disclaimer</t>
    </r>
    <r>
      <rPr>
        <i/>
        <sz val="9"/>
        <color theme="1"/>
        <rFont val="Calibri"/>
        <family val="2"/>
        <scheme val="minor"/>
      </rPr>
      <t xml:space="preserve">
The Tool may contain links to external websites that are not provided or maintained by or in any way affiliated with the Association.
Please note that the Association does not guarantee the accuracy, relevance, timeliness, or completeness of any information on these external websites.
</t>
    </r>
    <r>
      <rPr>
        <b/>
        <i/>
        <sz val="9"/>
        <color theme="1"/>
        <rFont val="Calibri"/>
        <family val="2"/>
        <scheme val="minor"/>
      </rPr>
      <t>Errors and Omissions Disclaimer</t>
    </r>
    <r>
      <rPr>
        <i/>
        <sz val="9"/>
        <color theme="1"/>
        <rFont val="Calibri"/>
        <family val="2"/>
        <scheme val="minor"/>
      </rPr>
      <t xml:space="preserve">
The information given by the Tool is for general guidance on matters of interest only. Even if the Association takes every precaution to ensure that the content of the Tool is both current and accurate, errors can occur. Plus, given the changing nature of science, laws, rules and regulations, there may be delays, omissions or inaccuracies in the information contained in the Tool.
The Association is not responsible for any errors or omissions, or for the results obtained from the use of this information.
</t>
    </r>
    <r>
      <rPr>
        <b/>
        <i/>
        <sz val="9"/>
        <color theme="1"/>
        <rFont val="Calibri"/>
        <family val="2"/>
        <scheme val="minor"/>
      </rPr>
      <t xml:space="preserve">Fair Use Disclaimer
</t>
    </r>
    <r>
      <rPr>
        <i/>
        <sz val="9"/>
        <color theme="1"/>
        <rFont val="Calibri"/>
        <family val="2"/>
        <scheme val="minor"/>
      </rPr>
      <t xml:space="preserve">The Association may use copyrighted material which has not always been specifically authorized by the copyright owner. The Association is making such material available for criticism, comment, news reporting, teaching, scholarship, or research.
The Association believes this constitutes a "fair use" of any such copyrighted material as provided for in section 107 of the United States Copyright law.
If You wish to use copyrighted material from the Tool for your own purposes that go beyond fair use, You must obtain permission from the copyright owner.
</t>
    </r>
    <r>
      <rPr>
        <b/>
        <i/>
        <sz val="9"/>
        <color theme="1"/>
        <rFont val="Calibri"/>
        <family val="2"/>
        <scheme val="minor"/>
      </rPr>
      <t xml:space="preserve">Views Expressed Disclaimer
</t>
    </r>
    <r>
      <rPr>
        <i/>
        <sz val="9"/>
        <color theme="1"/>
        <rFont val="Calibri"/>
        <family val="2"/>
        <scheme val="minor"/>
      </rPr>
      <t xml:space="preserve">The Tool may contain views and opinions which are those of the authors and do not necessarily reflect the official policy or position of any other author, agency, organization, or employer, including the Association.
Comments published by users are their sole responsibility and the users will take full responsibility, liability and blame for any libel or litigation that results from something written in or as a direct result of something written in a comment. The Association is not liable for any comment published by users and reserve the right to delete any comment for any reason whatsoever.
</t>
    </r>
    <r>
      <rPr>
        <b/>
        <i/>
        <sz val="9"/>
        <color theme="1"/>
        <rFont val="Calibri"/>
        <family val="2"/>
        <scheme val="minor"/>
      </rPr>
      <t>No Responsibility Disclaimer</t>
    </r>
    <r>
      <rPr>
        <i/>
        <sz val="9"/>
        <color theme="1"/>
        <rFont val="Calibri"/>
        <family val="2"/>
        <scheme val="minor"/>
      </rPr>
      <t xml:space="preserve">
The information in the Tool is provided with the understanding that the Association is not engaged in rendering legal, accounting, tax, or other professional advice or services. As such, it should not be used as a substitute for consultation with professional accounting, tax, legal or other competent advisers. If you need professional advice, consult an appropriate professional.
In no event shall the Association or its suppliers be liable for any special, incidental, indirect, or consequential damages whatsoever arising out of or in connection with your access or use or inability to access or use the Tool.
</t>
    </r>
    <r>
      <rPr>
        <b/>
        <i/>
        <sz val="9"/>
        <color theme="1"/>
        <rFont val="Calibri"/>
        <family val="2"/>
        <scheme val="minor"/>
      </rPr>
      <t>"Use at Your Own Risk" Disclaimer</t>
    </r>
    <r>
      <rPr>
        <i/>
        <sz val="9"/>
        <color theme="1"/>
        <rFont val="Calibri"/>
        <family val="2"/>
        <scheme val="minor"/>
      </rPr>
      <t xml:space="preserve">
All information in the Tool is provided "as is", with no guarantee of completeness, accuracy, timeliness or of the results obtained from the use of this information, and without warranty of any kind, express or implied, including, but not limited to warranties of performance, merchantability and fitness for a particular purpose.
The Association will not be liable to You or anyone else for any decision made or action taken in reliance on the information given by the Tool or for any consequential, special or similar damages, even if advised of the possibility of such damages.
</t>
    </r>
    <r>
      <rPr>
        <b/>
        <i/>
        <sz val="9"/>
        <color theme="1"/>
        <rFont val="Calibri"/>
        <family val="2"/>
        <scheme val="minor"/>
      </rPr>
      <t>Contact Us</t>
    </r>
    <r>
      <rPr>
        <i/>
        <sz val="9"/>
        <color theme="1"/>
        <rFont val="Calibri"/>
        <family val="2"/>
        <scheme val="minor"/>
      </rPr>
      <t xml:space="preserve">
If you have any questions about this Disclaimer, You can contact Us:
•By email: help@apawood.org</t>
    </r>
  </si>
  <si>
    <t>Opening 3</t>
  </si>
  <si>
    <r>
      <t>h</t>
    </r>
    <r>
      <rPr>
        <vertAlign val="subscript"/>
        <sz val="11"/>
        <color theme="1"/>
        <rFont val="Calibri"/>
        <family val="2"/>
        <scheme val="minor"/>
      </rPr>
      <t>a</t>
    </r>
    <r>
      <rPr>
        <sz val="11"/>
        <color theme="1"/>
        <rFont val="Calibri"/>
        <family val="2"/>
        <scheme val="minor"/>
      </rPr>
      <t>3</t>
    </r>
  </si>
  <si>
    <r>
      <t>h</t>
    </r>
    <r>
      <rPr>
        <vertAlign val="subscript"/>
        <sz val="11"/>
        <color theme="1"/>
        <rFont val="Calibri"/>
        <family val="2"/>
        <scheme val="minor"/>
      </rPr>
      <t>o</t>
    </r>
    <r>
      <rPr>
        <sz val="11"/>
        <color theme="1"/>
        <rFont val="Calibri"/>
        <family val="2"/>
        <scheme val="minor"/>
      </rPr>
      <t>3</t>
    </r>
  </si>
  <si>
    <r>
      <t>h</t>
    </r>
    <r>
      <rPr>
        <vertAlign val="subscript"/>
        <sz val="11"/>
        <color theme="1"/>
        <rFont val="Calibri"/>
        <family val="2"/>
        <scheme val="minor"/>
      </rPr>
      <t>b</t>
    </r>
    <r>
      <rPr>
        <sz val="11"/>
        <color theme="1"/>
        <rFont val="Calibri"/>
        <family val="2"/>
        <scheme val="minor"/>
      </rPr>
      <t>3</t>
    </r>
  </si>
  <si>
    <t>L4</t>
  </si>
  <si>
    <t>Lo3</t>
  </si>
  <si>
    <r>
      <t>P4=h</t>
    </r>
    <r>
      <rPr>
        <vertAlign val="subscript"/>
        <sz val="11"/>
        <color theme="1"/>
        <rFont val="Calibri"/>
        <family val="2"/>
        <scheme val="minor"/>
      </rPr>
      <t>o</t>
    </r>
    <r>
      <rPr>
        <sz val="11"/>
        <color theme="1"/>
        <rFont val="Calibri"/>
        <family val="2"/>
        <scheme val="minor"/>
      </rPr>
      <t>/L4=</t>
    </r>
  </si>
  <si>
    <t>v3 = (V/L)(T4+L3+T5)/L3 =</t>
  </si>
  <si>
    <r>
      <t>Third opening: va3 = vb3 = H/(h</t>
    </r>
    <r>
      <rPr>
        <vertAlign val="subscript"/>
        <sz val="11"/>
        <color theme="1"/>
        <rFont val="Calibri"/>
        <family val="2"/>
        <scheme val="minor"/>
      </rPr>
      <t>a</t>
    </r>
    <r>
      <rPr>
        <sz val="11"/>
        <color theme="1"/>
        <rFont val="Calibri"/>
        <family val="2"/>
        <scheme val="minor"/>
      </rPr>
      <t>3+h</t>
    </r>
    <r>
      <rPr>
        <vertAlign val="subscript"/>
        <sz val="11"/>
        <color theme="1"/>
        <rFont val="Calibri"/>
        <family val="2"/>
        <scheme val="minor"/>
      </rPr>
      <t>b</t>
    </r>
    <r>
      <rPr>
        <sz val="11"/>
        <color theme="1"/>
        <rFont val="Calibri"/>
        <family val="2"/>
        <scheme val="minor"/>
      </rPr>
      <t>3) =</t>
    </r>
  </si>
  <si>
    <t>v4 = (V/L)(T6+L4)/L4 =</t>
  </si>
  <si>
    <t>Check v1*L1+v2*L2+v3*L3+v4*L4=V?</t>
  </si>
  <si>
    <t>Third opening: O3 = va3 x (Lo3) =</t>
  </si>
  <si>
    <t>R4 = v4*L4 =</t>
  </si>
  <si>
    <t>F5 = O3(L3)/(L3+L4) =</t>
  </si>
  <si>
    <t>R3-F4-F5 =</t>
  </si>
  <si>
    <t>F6 = O3(L4)/(L3+L4) =</t>
  </si>
  <si>
    <t>R4-F6 =</t>
  </si>
  <si>
    <t>vc3 = (R3-F4-F5)/L3 =</t>
  </si>
  <si>
    <t>vc4 = (R4-F6)/L4 =</t>
  </si>
  <si>
    <t>T5 = (L3*Lo3)/(L3+L4) =</t>
  </si>
  <si>
    <t>T6 = (L4*Lo3)/(L3+L4) =</t>
  </si>
  <si>
    <t>Check Summary of Shear Values for Three Openings</t>
  </si>
  <si>
    <r>
      <t>Line 6: va3(h</t>
    </r>
    <r>
      <rPr>
        <vertAlign val="subscript"/>
        <sz val="11"/>
        <color theme="1"/>
        <rFont val="Calibri"/>
        <family val="2"/>
        <scheme val="minor"/>
      </rPr>
      <t>a</t>
    </r>
    <r>
      <rPr>
        <sz val="11"/>
        <color theme="1"/>
        <rFont val="Calibri"/>
        <family val="2"/>
        <scheme val="minor"/>
      </rPr>
      <t>3+h</t>
    </r>
    <r>
      <rPr>
        <vertAlign val="subscript"/>
        <sz val="11"/>
        <color theme="1"/>
        <rFont val="Calibri"/>
        <family val="2"/>
        <scheme val="minor"/>
      </rPr>
      <t>b</t>
    </r>
    <r>
      <rPr>
        <sz val="11"/>
        <color theme="1"/>
        <rFont val="Calibri"/>
        <family val="2"/>
        <scheme val="minor"/>
      </rPr>
      <t>3)-v3(h</t>
    </r>
    <r>
      <rPr>
        <vertAlign val="subscript"/>
        <sz val="11"/>
        <color theme="1"/>
        <rFont val="Calibri"/>
        <family val="2"/>
        <scheme val="minor"/>
      </rPr>
      <t>o</t>
    </r>
    <r>
      <rPr>
        <sz val="11"/>
        <color theme="1"/>
        <rFont val="Calibri"/>
        <family val="2"/>
        <scheme val="minor"/>
      </rPr>
      <t>3)-vc3(h</t>
    </r>
    <r>
      <rPr>
        <vertAlign val="subscript"/>
        <sz val="11"/>
        <color theme="1"/>
        <rFont val="Calibri"/>
        <family val="2"/>
        <scheme val="minor"/>
      </rPr>
      <t>a</t>
    </r>
    <r>
      <rPr>
        <sz val="11"/>
        <color theme="1"/>
        <rFont val="Calibri"/>
        <family val="2"/>
        <scheme val="minor"/>
      </rPr>
      <t>3+h</t>
    </r>
    <r>
      <rPr>
        <vertAlign val="subscript"/>
        <sz val="11"/>
        <color theme="1"/>
        <rFont val="Calibri"/>
        <family val="2"/>
        <scheme val="minor"/>
      </rPr>
      <t>b</t>
    </r>
    <r>
      <rPr>
        <sz val="11"/>
        <color theme="1"/>
        <rFont val="Calibri"/>
        <family val="2"/>
        <scheme val="minor"/>
      </rPr>
      <t>3)=0?</t>
    </r>
  </si>
  <si>
    <r>
      <t>Line 7: va3(h</t>
    </r>
    <r>
      <rPr>
        <vertAlign val="subscript"/>
        <sz val="11"/>
        <color theme="1"/>
        <rFont val="Calibri"/>
        <family val="2"/>
        <scheme val="minor"/>
      </rPr>
      <t>a</t>
    </r>
    <r>
      <rPr>
        <sz val="11"/>
        <color theme="1"/>
        <rFont val="Calibri"/>
        <family val="2"/>
        <scheme val="minor"/>
      </rPr>
      <t>3+h</t>
    </r>
    <r>
      <rPr>
        <vertAlign val="subscript"/>
        <sz val="11"/>
        <color theme="1"/>
        <rFont val="Calibri"/>
        <family val="2"/>
        <scheme val="minor"/>
      </rPr>
      <t>b</t>
    </r>
    <r>
      <rPr>
        <sz val="11"/>
        <color theme="1"/>
        <rFont val="Calibri"/>
        <family val="2"/>
        <scheme val="minor"/>
      </rPr>
      <t>3)-vc4(h</t>
    </r>
    <r>
      <rPr>
        <vertAlign val="subscript"/>
        <sz val="11"/>
        <color theme="1"/>
        <rFont val="Calibri"/>
        <family val="2"/>
        <scheme val="minor"/>
      </rPr>
      <t>a</t>
    </r>
    <r>
      <rPr>
        <sz val="11"/>
        <color theme="1"/>
        <rFont val="Calibri"/>
        <family val="2"/>
        <scheme val="minor"/>
      </rPr>
      <t>3+h</t>
    </r>
    <r>
      <rPr>
        <vertAlign val="subscript"/>
        <sz val="11"/>
        <color theme="1"/>
        <rFont val="Calibri"/>
        <family val="2"/>
        <scheme val="minor"/>
      </rPr>
      <t>b</t>
    </r>
    <r>
      <rPr>
        <sz val="11"/>
        <color theme="1"/>
        <rFont val="Calibri"/>
        <family val="2"/>
        <scheme val="minor"/>
      </rPr>
      <t>3)-v4(h</t>
    </r>
    <r>
      <rPr>
        <vertAlign val="subscript"/>
        <sz val="11"/>
        <color theme="1"/>
        <rFont val="Calibri"/>
        <family val="2"/>
        <scheme val="minor"/>
      </rPr>
      <t>o</t>
    </r>
    <r>
      <rPr>
        <sz val="11"/>
        <color theme="1"/>
        <rFont val="Calibri"/>
        <family val="2"/>
        <scheme val="minor"/>
      </rPr>
      <t>3)=0?</t>
    </r>
  </si>
  <si>
    <r>
      <t>Line 8: vc4(h</t>
    </r>
    <r>
      <rPr>
        <vertAlign val="subscript"/>
        <sz val="11"/>
        <color theme="1"/>
        <rFont val="Calibri"/>
        <family val="2"/>
        <scheme val="minor"/>
      </rPr>
      <t>a</t>
    </r>
    <r>
      <rPr>
        <sz val="11"/>
        <color theme="1"/>
        <rFont val="Calibri"/>
        <family val="2"/>
        <scheme val="minor"/>
      </rPr>
      <t>3+h</t>
    </r>
    <r>
      <rPr>
        <vertAlign val="subscript"/>
        <sz val="11"/>
        <color theme="1"/>
        <rFont val="Calibri"/>
        <family val="2"/>
        <scheme val="minor"/>
      </rPr>
      <t>b</t>
    </r>
    <r>
      <rPr>
        <sz val="11"/>
        <color theme="1"/>
        <rFont val="Calibri"/>
        <family val="2"/>
        <scheme val="minor"/>
      </rPr>
      <t>3)+v4(h</t>
    </r>
    <r>
      <rPr>
        <vertAlign val="subscript"/>
        <sz val="11"/>
        <color theme="1"/>
        <rFont val="Calibri"/>
        <family val="2"/>
        <scheme val="minor"/>
      </rPr>
      <t>o</t>
    </r>
    <r>
      <rPr>
        <sz val="11"/>
        <color theme="1"/>
        <rFont val="Calibri"/>
        <family val="2"/>
        <scheme val="minor"/>
      </rPr>
      <t>3)=H?</t>
    </r>
  </si>
  <si>
    <t>Pier 4</t>
  </si>
  <si>
    <t>Pier 4-L</t>
  </si>
  <si>
    <t>Pier 4-R</t>
  </si>
  <si>
    <t>Pier 4 (left)</t>
  </si>
  <si>
    <t>Pier 4 (right)</t>
  </si>
  <si>
    <t xml:space="preserve">     </t>
  </si>
  <si>
    <r>
      <rPr>
        <b/>
        <i/>
        <sz val="9"/>
        <color theme="1"/>
        <rFont val="Calibri"/>
        <family val="2"/>
        <scheme val="minor"/>
      </rPr>
      <t>Interpretation and Definitions</t>
    </r>
    <r>
      <rPr>
        <i/>
        <sz val="9"/>
        <color theme="1"/>
        <rFont val="Calibri"/>
        <family val="2"/>
        <scheme val="minor"/>
      </rPr>
      <t xml:space="preserve">
Interpretation - The words of which the initial letter is capitalized have meanings as defined below and shall have the same meaning regardless of whether they appear in singular or in plural.
Definitions - For the purposes of this Disclaimer:
•Association (referred to as either "APA”, “the Association", "We", "Us" or "Our" in this Disclaimer) refers to APA – The Engineered Wood Association, 7011 S. 19th Street, Tacoma, WA 98466-5333.
•You means the individual accessing the APA Tool, or the other legal entity on behalf of which such individual is accessing or using the Tool, as applicable.
•APA Website refers to https://www.apawood.org (APA – The Engineered Wood Association).
•Tool refers to the APA Force Transfer Around Openings calculator available on the APA Website. 
</t>
    </r>
    <r>
      <rPr>
        <b/>
        <i/>
        <sz val="9"/>
        <color theme="1"/>
        <rFont val="Calibri"/>
        <family val="2"/>
        <scheme val="minor"/>
      </rPr>
      <t>Disclaimer</t>
    </r>
    <r>
      <rPr>
        <i/>
        <sz val="9"/>
        <color theme="1"/>
        <rFont val="Calibri"/>
        <family val="2"/>
        <scheme val="minor"/>
      </rPr>
      <t xml:space="preserve">
The information contained in the Tool is for general information purposes only.
The Association assumes no responsibility for errors or omissions in the contents of the Tool.
In no event shall the Association be liable for any special, direct, indirect, consequential, or incidental damages or any damages whatsoever, whether in an action of contract, negligence or other tort, arising out of or in connection with the use of the Tool or the contents of the Tool. The Association reserves the right to make additions, deletions, or modifications to the contents in the Tool at any time without prior notice. 
The Association does not warrant that the Tool is free of viruses or other harmful components.
</t>
    </r>
    <r>
      <rPr>
        <b/>
        <i/>
        <sz val="9"/>
        <color theme="1"/>
        <rFont val="Calibri"/>
        <family val="2"/>
        <scheme val="minor"/>
      </rPr>
      <t>External Links Disclaimer</t>
    </r>
    <r>
      <rPr>
        <i/>
        <sz val="9"/>
        <color theme="1"/>
        <rFont val="Calibri"/>
        <family val="2"/>
        <scheme val="minor"/>
      </rPr>
      <t xml:space="preserve">
The Tool may contain links to external websites that are not provided or maintained by or in any way affiliated with the Association.
Please note that the Association does not guarantee the accuracy, relevance, timeliness, or completeness of any information on these external websites.
</t>
    </r>
    <r>
      <rPr>
        <b/>
        <i/>
        <sz val="9"/>
        <color theme="1"/>
        <rFont val="Calibri"/>
        <family val="2"/>
        <scheme val="minor"/>
      </rPr>
      <t>Errors and Omissions Disclaimer</t>
    </r>
    <r>
      <rPr>
        <i/>
        <sz val="9"/>
        <color theme="1"/>
        <rFont val="Calibri"/>
        <family val="2"/>
        <scheme val="minor"/>
      </rPr>
      <t xml:space="preserve">
The information given by the Tool is for general guidance on matters of interest only. Even if the Association takes every precaution to ensure that the content of the Tool is both current and accurate, errors can occur. Plus, given the changing nature of science, laws, rules and regulations, there may be delays, omissions or inaccuracies in the information contained in the Tool.
The Association is not responsible for any errors or omissions, or for the results obtained from the use of this information.
</t>
    </r>
    <r>
      <rPr>
        <b/>
        <i/>
        <sz val="9"/>
        <color theme="1"/>
        <rFont val="Calibri"/>
        <family val="2"/>
        <scheme val="minor"/>
      </rPr>
      <t xml:space="preserve">Fair Use Disclaimer
</t>
    </r>
    <r>
      <rPr>
        <i/>
        <sz val="9"/>
        <color theme="1"/>
        <rFont val="Calibri"/>
        <family val="2"/>
        <scheme val="minor"/>
      </rPr>
      <t xml:space="preserve">The Association may use copyrighted material which has not always been specifically authorized by the copyright owner. The Association is making such material available for criticism, comment, news reporting, teaching, scholarship, or research.
The Association believes this constitutes a "fair use" of any such copyrighted material as provided for in section 107 of the United States Copyright law.
If You wish to use copyrighted material from the Tool for your own purposes that go beyond fair use, You must obtain permission from the copyright owner.
</t>
    </r>
    <r>
      <rPr>
        <b/>
        <i/>
        <sz val="9"/>
        <color theme="1"/>
        <rFont val="Calibri"/>
        <family val="2"/>
        <scheme val="minor"/>
      </rPr>
      <t>Views Expressed Disclaimer</t>
    </r>
    <r>
      <rPr>
        <i/>
        <sz val="9"/>
        <color theme="1"/>
        <rFont val="Calibri"/>
        <family val="2"/>
        <scheme val="minor"/>
      </rPr>
      <t xml:space="preserve">
The Tool may contain views and opinions which are those of the authors and do not necessarily reflect the official policy or position of any other author, agency, organization, or employer, including the Association.
Comments published by users are their sole responsibility and the users will take full responsibility, liability and blame for any libel or litigation that results from something written in or as a direct result of something written in a comment. The Association is not liable for any comment published by users and reserve the right to delete any comment for any reason whatsoever.
</t>
    </r>
    <r>
      <rPr>
        <b/>
        <i/>
        <sz val="9"/>
        <color theme="1"/>
        <rFont val="Calibri"/>
        <family val="2"/>
        <scheme val="minor"/>
      </rPr>
      <t xml:space="preserve">No Responsibility Disclaimer
</t>
    </r>
    <r>
      <rPr>
        <i/>
        <sz val="9"/>
        <color theme="1"/>
        <rFont val="Calibri"/>
        <family val="2"/>
        <scheme val="minor"/>
      </rPr>
      <t xml:space="preserve">The information in the Tool is provided with the understanding that the Association is not engaged in rendering legal, accounting, tax, or other professional advice or services. As such, it should not be used as a substitute for consultation with professional accounting, tax, legal or other competent advisers. If you need professional advice, consult an appropriate professional.
In no event shall the Association or its suppliers be liable for any special, incidental, indirect, or consequential damages whatsoever arising out of or in connection with your access or use or inability to access or use the Tool.
</t>
    </r>
    <r>
      <rPr>
        <b/>
        <i/>
        <sz val="9"/>
        <color theme="1"/>
        <rFont val="Calibri"/>
        <family val="2"/>
        <scheme val="minor"/>
      </rPr>
      <t xml:space="preserve">"Use at Your Own Risk" Disclaimer
</t>
    </r>
    <r>
      <rPr>
        <i/>
        <sz val="9"/>
        <color theme="1"/>
        <rFont val="Calibri"/>
        <family val="2"/>
        <scheme val="minor"/>
      </rPr>
      <t xml:space="preserve">All information in the Tool is provided "as is", with no guarantee of completeness, accuracy, timeliness or of the results obtained from the use of this information, and without warranty of any kind, express or implied, including, but not limited to warranties of performance, merchantability and fitness for a particular purpose.
The Association will not be liable to You or anyone else for any decision made or action taken in reliance on the information given by the Tool or for any consequential, special or similar damages, even if advised of the possibility of such damages.
</t>
    </r>
    <r>
      <rPr>
        <b/>
        <i/>
        <sz val="9"/>
        <color theme="1"/>
        <rFont val="Calibri"/>
        <family val="2"/>
        <scheme val="minor"/>
      </rPr>
      <t>Contact Us</t>
    </r>
    <r>
      <rPr>
        <i/>
        <sz val="9"/>
        <color theme="1"/>
        <rFont val="Calibri"/>
        <family val="2"/>
        <scheme val="minor"/>
      </rPr>
      <t xml:space="preserve">
If you have any questions about this Disclaimer, You can contact Us:
•By email: help@apawood.org</t>
    </r>
  </si>
  <si>
    <t>Nominal Stud Size</t>
  </si>
  <si>
    <t>Area</t>
  </si>
  <si>
    <t>Fastener Slip</t>
  </si>
  <si>
    <t>2x3</t>
  </si>
  <si>
    <t>3/8 OSB</t>
  </si>
  <si>
    <t>8d commonAPA Structural 1</t>
  </si>
  <si>
    <t>2x4</t>
  </si>
  <si>
    <t>7/16 OSB</t>
  </si>
  <si>
    <t>10d commonAPA Structural 1</t>
  </si>
  <si>
    <t>3x4</t>
  </si>
  <si>
    <t>8d commonAPA Rated Sheathing</t>
  </si>
  <si>
    <t>2x5</t>
  </si>
  <si>
    <t>19/32 OSB</t>
  </si>
  <si>
    <t>10d commonAPA Rated Sheathing</t>
  </si>
  <si>
    <t>3/8 Plywood</t>
  </si>
  <si>
    <t>3x6</t>
  </si>
  <si>
    <t>15/32 Plywood</t>
  </si>
  <si>
    <t>19/32 Plywood</t>
  </si>
  <si>
    <t>Other Material</t>
  </si>
  <si>
    <t>3/8 OSBAPA Rated Sheathing</t>
  </si>
  <si>
    <t>7/16 OSBAPA Rated Sheathing</t>
  </si>
  <si>
    <t>15/32 OSBAPA Rated Sheathing</t>
  </si>
  <si>
    <t>19/32 OSBAPA Rated Sheathing</t>
  </si>
  <si>
    <t>3/8 OSBAPA Structural 1</t>
  </si>
  <si>
    <t>7/16 OSBAPA Structural 1</t>
  </si>
  <si>
    <t>15/32 OSBAPA Structural 1</t>
  </si>
  <si>
    <t>19/32 OSBAPA Structural 1</t>
  </si>
  <si>
    <t>3/8 PlywoodAPA Rated Sheathing</t>
  </si>
  <si>
    <t>15/32 PlywoodAPA Rated Sheathing</t>
  </si>
  <si>
    <t>19/32 PlywoodAPA Rated Sheathing</t>
  </si>
  <si>
    <t>3/8 PlywoodAPA Structural 1</t>
  </si>
  <si>
    <t>15/32 PlywoodAPA Structural 1</t>
  </si>
  <si>
    <t>19/32 PlywoodAPA Structural 1</t>
  </si>
  <si>
    <t>3/8 OSBAPA Rated Sheathing8d common2</t>
  </si>
  <si>
    <t>3/8 OSBAPA Rated Sheathing8d common3</t>
  </si>
  <si>
    <t>3/8 OSBAPA Rated Sheathing8d common4</t>
  </si>
  <si>
    <t>3/8 OSBAPA Rated Sheathing8d common6</t>
  </si>
  <si>
    <t>3/8 OSBAPA Rated Sheathing10d common2</t>
  </si>
  <si>
    <t>N/A</t>
  </si>
  <si>
    <t>3/8 OSBAPA Rated Sheathing10d common3</t>
  </si>
  <si>
    <t>3/8 OSBAPA Rated Sheathing10d common4</t>
  </si>
  <si>
    <t>3/8 OSBAPA Rated Sheathing10d common6</t>
  </si>
  <si>
    <t>7/16 OSBAPA Rated Sheathing8d common2</t>
  </si>
  <si>
    <t>7/16 OSBAPA Rated Sheathing8d common3</t>
  </si>
  <si>
    <t>7/16 OSBAPA Rated Sheathing8d common4</t>
  </si>
  <si>
    <t>7/16 OSBAPA Rated Sheathing8d common6</t>
  </si>
  <si>
    <t>7/16 OSBAPA Rated Sheathing10d common2</t>
  </si>
  <si>
    <t>7/16 OSBAPA Rated Sheathing10d common3</t>
  </si>
  <si>
    <t>7/16 OSBAPA Rated Sheathing10d common4</t>
  </si>
  <si>
    <t>7/16 OSBAPA Rated Sheathing10d common6</t>
  </si>
  <si>
    <t>15/32 OSBAPA Rated Sheathing8d common2</t>
  </si>
  <si>
    <t>15/32 OSBAPA Rated Sheathing8d common3</t>
  </si>
  <si>
    <t>15/32 OSBAPA Rated Sheathing8d common4</t>
  </si>
  <si>
    <t>15/32 OSBAPA Rated Sheathing8d common6</t>
  </si>
  <si>
    <t>15/32 OSBAPA Rated Sheathing10d common2</t>
  </si>
  <si>
    <t>15/32 OSBAPA Rated Sheathing10d common3</t>
  </si>
  <si>
    <t>15/32 OSBAPA Rated Sheathing10d common4</t>
  </si>
  <si>
    <t>15/32 OSBAPA Rated Sheathing10d common6</t>
  </si>
  <si>
    <t>19/32 OSBAPA Rated Sheathing8d common2</t>
  </si>
  <si>
    <t>19/32 OSBAPA Rated Sheathing8d common3</t>
  </si>
  <si>
    <t>19/32 OSBAPA Rated Sheathing8d common4</t>
  </si>
  <si>
    <t>19/32 OSBAPA Rated Sheathing8d common6</t>
  </si>
  <si>
    <t>19/32 OSBAPA Rated Sheathing10d common2</t>
  </si>
  <si>
    <t>19/32 OSBAPA Rated Sheathing10d common3</t>
  </si>
  <si>
    <t>19/32 OSBAPA Rated Sheathing10d common4</t>
  </si>
  <si>
    <t>19/32 OSBAPA Rated Sheathing10d common6</t>
  </si>
  <si>
    <t>3/8 OSBAPA Structural 18d common2</t>
  </si>
  <si>
    <t>3/8 OSBAPA Structural 18d common3</t>
  </si>
  <si>
    <t>3/8 OSBAPA Structural 18d common4</t>
  </si>
  <si>
    <t>3/8 OSBAPA Structural 18d common6</t>
  </si>
  <si>
    <t>3/8 OSBAPA Structural 110d common2</t>
  </si>
  <si>
    <t>3/8 OSBAPA Structural 110d common3</t>
  </si>
  <si>
    <t>3/8 OSBAPA Structural 110d common4</t>
  </si>
  <si>
    <t>3/8 OSBAPA Structural 110d common6</t>
  </si>
  <si>
    <t>7/16 OSBAPA Structural 18d common2</t>
  </si>
  <si>
    <t>7/16 OSBAPA Structural 18d common3</t>
  </si>
  <si>
    <t>7/16 OSBAPA Structural 18d common4</t>
  </si>
  <si>
    <t>7/16 OSBAPA Structural 18d common6</t>
  </si>
  <si>
    <t>7/16 OSBAPA Structural 110d common2</t>
  </si>
  <si>
    <t>7/16 OSBAPA Structural 110d common3</t>
  </si>
  <si>
    <t>7/16 OSBAPA Structural 110d common4</t>
  </si>
  <si>
    <t>7/16 OSBAPA Structural 110d common6</t>
  </si>
  <si>
    <t>15/32 OSBAPA Structural 18d common2</t>
  </si>
  <si>
    <t>15/32 OSBAPA Structural 18d common3</t>
  </si>
  <si>
    <t>15/32 OSBAPA Structural 18d common4</t>
  </si>
  <si>
    <t>15/32 OSBAPA Structural 18d common6</t>
  </si>
  <si>
    <t>15/32 OSBAPA Structural 110d common2</t>
  </si>
  <si>
    <t>15/32 OSBAPA Structural 110d common3</t>
  </si>
  <si>
    <t>15/32 OSBAPA Structural 110d common4</t>
  </si>
  <si>
    <t>15/32 OSBAPA Structural 110d common6</t>
  </si>
  <si>
    <t>19/32 OSBAPA Structural 18d common2</t>
  </si>
  <si>
    <t>19/32 OSBAPA Structural 18d common3</t>
  </si>
  <si>
    <t>19/32 OSBAPA Structural 18d common4</t>
  </si>
  <si>
    <t>19/32 OSBAPA Structural 18d common6</t>
  </si>
  <si>
    <t>19/32 OSBAPA Structural 110d common2</t>
  </si>
  <si>
    <t>19/32 OSBAPA Structural 110d common3</t>
  </si>
  <si>
    <t>19/32 OSBAPA Structural 110d common4</t>
  </si>
  <si>
    <t>19/32 OSBAPA Structural 110d common6</t>
  </si>
  <si>
    <t>3/8 PlywoodAPA Rated Sheathing8d common2</t>
  </si>
  <si>
    <t>3/8 PlywoodAPA Rated Sheathing8d common3</t>
  </si>
  <si>
    <t>3/8 PlywoodAPA Rated Sheathing8d common4</t>
  </si>
  <si>
    <t>3/8 PlywoodAPA Rated Sheathing8d common6</t>
  </si>
  <si>
    <t>3/8 PlywoodAPA Rated Sheathing10d common2</t>
  </si>
  <si>
    <t>3/8 PlywoodAPA Rated Sheathing10d common3</t>
  </si>
  <si>
    <t>3/8 PlywoodAPA Rated Sheathing10d common4</t>
  </si>
  <si>
    <t>3/8 PlywoodAPA Rated Sheathing10d common6</t>
  </si>
  <si>
    <t>3/8 PlywoodAPA Structural 18d common2</t>
  </si>
  <si>
    <t>3/8 PlywoodAPA Structural 18d common3</t>
  </si>
  <si>
    <t>3/8 PlywoodAPA Structural 18d common4</t>
  </si>
  <si>
    <t>3/8 PlywoodAPA Structural 18d common6</t>
  </si>
  <si>
    <t>3/8 PlywoodAPA Structural 110d common2</t>
  </si>
  <si>
    <t>3/8 PlywoodAPA Structural 110d common3</t>
  </si>
  <si>
    <t>3/8 PlywoodAPA Structural 110d common4</t>
  </si>
  <si>
    <t>3/8 PlywoodAPA Structural 110d common6</t>
  </si>
  <si>
    <t>15/32 PlywoodAPA Rated Sheathing8d common2</t>
  </si>
  <si>
    <t>15/32 PlywoodAPA Rated Sheathing8d common3</t>
  </si>
  <si>
    <t>15/32 PlywoodAPA Rated Sheathing8d common4</t>
  </si>
  <si>
    <t>15/32 PlywoodAPA Rated Sheathing8d common6</t>
  </si>
  <si>
    <t>15/32 PlywoodAPA Rated Sheathing10d common2</t>
  </si>
  <si>
    <t>15/32 PlywoodAPA Rated Sheathing10d common3</t>
  </si>
  <si>
    <t>15/32 PlywoodAPA Rated Sheathing10d common4</t>
  </si>
  <si>
    <t>15/32 PlywoodAPA Rated Sheathing10d common6</t>
  </si>
  <si>
    <t>15/32 PlywoodAPA Structural 18d common2</t>
  </si>
  <si>
    <t>15/32 PlywoodAPA Structural 18d common3</t>
  </si>
  <si>
    <t>15/32 PlywoodAPA Structural 18d common4</t>
  </si>
  <si>
    <t>15/32 PlywoodAPA Structural 18d common6</t>
  </si>
  <si>
    <t>15/32 PlywoodAPA Structural 110d common2</t>
  </si>
  <si>
    <t>15/32 PlywoodAPA Structural 110d common3</t>
  </si>
  <si>
    <t>15/32 PlywoodAPA Structural 110d common4</t>
  </si>
  <si>
    <t>15/32 PlywoodAPA Structural 110d common6</t>
  </si>
  <si>
    <t>19/32 PlywoodAPA Rated Sheathing8d common2</t>
  </si>
  <si>
    <t>19/32 PlywoodAPA Rated Sheathing8d common3</t>
  </si>
  <si>
    <t>19/32 PlywoodAPA Rated Sheathing8d common4</t>
  </si>
  <si>
    <t>19/32 PlywoodAPA Rated Sheathing8d common6</t>
  </si>
  <si>
    <t>19/32 PlywoodAPA Rated Sheathing10d common2</t>
  </si>
  <si>
    <t>19/32 PlywoodAPA Rated Sheathing10d common3</t>
  </si>
  <si>
    <t>19/32 PlywoodAPA Rated Sheathing10d common4</t>
  </si>
  <si>
    <t>19/32 PlywoodAPA Rated Sheathing10d common6</t>
  </si>
  <si>
    <t>19/32 PlywoodAPA Structural 18d common2</t>
  </si>
  <si>
    <t>19/32 PlywoodAPA Structural 18d common3</t>
  </si>
  <si>
    <t>19/32 PlywoodAPA Structural 18d common4</t>
  </si>
  <si>
    <t>19/32 PlywoodAPA Structural 18d common6</t>
  </si>
  <si>
    <t>19/32 PlywoodAPA Structural 110d common2</t>
  </si>
  <si>
    <t>19/32 PlywoodAPA Structural 110d common3</t>
  </si>
  <si>
    <t>19/32 PlywoodAPA Structural 110d common4</t>
  </si>
  <si>
    <t>19/32 PlywoodAPA Structural 110d common6</t>
  </si>
  <si>
    <t xml:space="preserve">1. On a new worksheet, select a cell (such as cell B4).
2. Enter the name "apple" into the Name box. This defines the name "apple" to refer to cell B4.
3. With cell B4 still selected, choose Insert | Picture | From File. Select the picture of the apple and insert it.
4. Enlarge the width and height of cell B4 so that the picture of the apple is contained entirely within the cell.
5. Repeat steps 1 through 4 for each of your other pictures, placing each picture in a different cell and naming them according to the contents of the picture. (For the sake of this example, I'll assume that "pear" is cell D4 and "orange" is cell F4.)
6. On the worksheet that will contain your form, create a formula that will contain the names of the fruit, such as the following formula, which displays "apple," "pear," or "orange," depending on the value in cell G1. (It is important that the formula reference the names exactly as you defined them in step 2 for each fruit's picture. For the sake of this example, I'll assume that you entered this formula in cell A1 of Sheet1.)  =IF(G1=1,"apple",IF(G1=2,"pear",IF(G1=3,"orange","")))
7. Choose Name from the Insert menu, then choose Define. Excel displays the Define Name dialog box. (See Figure 1.)
8. Replace the contents of the Names In Workbook box with the word "Picture".
9. Replace the contents of the Refers To box with the following formula:  =INDIRECT(Sheet1!$A$1)
10. Click the OK button. You've now defined the name "Picture" to contain the formula entered in step 6.
11. On the worksheet that will contain your form, select the cell where you want the dynamic image to appear.
12. Choose Insert | Picture | From File. Select and insert a picture (it doesn't matter which one).
13. Make sure the picture you inserted in step 12 is selected.
14. In the formula bar, enter the formula =Picture. (This is the name you defined in steps 7 through 10.) The picture should change to reflect whatever fruit is named in cell A1.
</t>
  </si>
  <si>
    <t>Figure 1. The Define Name dialog box.</t>
  </si>
  <si>
    <t xml:space="preserve">    </t>
  </si>
  <si>
    <t xml:space="preserve">This calculator will expire on February 28, 2026.  The latest version can be downloaded at APAWood.org.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</si>
</sst>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00"/>
    <numFmt numFmtId="165" formatCode="#,##0.0000"/>
    <numFmt numFmtId="166" formatCode="0.0000"/>
    <numFmt numFmtId="167" formatCode="0\ &quot;lb&quot;"/>
    <numFmt numFmtId="168" formatCode="0.00\ &quot;ft&quot;"/>
    <numFmt numFmtId="169" formatCode="0\ &quot;plf&quot;"/>
    <numFmt numFmtId="170" formatCode="0.000\ &quot;%&quot;"/>
    <numFmt numFmtId="171" formatCode="#\ ??/16"/>
    <numFmt numFmtId="172" formatCode="#,##0.0"/>
    <numFmt numFmtId="173" formatCode="0\ &quot;lbf&quot;"/>
    <numFmt numFmtId="174" formatCode="0.000\ &quot;in.&quot;"/>
  </numFmts>
  <fonts count="26" x14ac:knownFonts="1">
    <font>
      <sz val="11"/>
      <color theme="1"/>
      <name val="Calibri"/>
      <family val="2"/>
      <scheme val="minor"/>
    </font>
    <font>
      <b/>
      <sz val="11"/>
      <color theme="1"/>
      <name val="Calibri"/>
      <family val="2"/>
      <scheme val="minor"/>
    </font>
    <font>
      <vertAlign val="subscript"/>
      <sz val="11"/>
      <color theme="1"/>
      <name val="Calibri"/>
      <family val="2"/>
      <scheme val="minor"/>
    </font>
    <font>
      <sz val="18"/>
      <name val="Arial"/>
      <family val="2"/>
    </font>
    <font>
      <i/>
      <sz val="10"/>
      <name val="Arial"/>
      <family val="2"/>
    </font>
    <font>
      <b/>
      <sz val="11"/>
      <name val="Calibri"/>
      <family val="2"/>
      <scheme val="minor"/>
    </font>
    <font>
      <b/>
      <sz val="16"/>
      <name val="Arial"/>
      <family val="2"/>
    </font>
    <font>
      <b/>
      <vertAlign val="subscript"/>
      <sz val="11"/>
      <color theme="1"/>
      <name val="Calibri"/>
      <family val="2"/>
      <scheme val="minor"/>
    </font>
    <font>
      <vertAlign val="superscript"/>
      <sz val="11"/>
      <color theme="1"/>
      <name val="Calibri"/>
      <family val="2"/>
      <scheme val="minor"/>
    </font>
    <font>
      <b/>
      <sz val="16"/>
      <color theme="1"/>
      <name val="Calibri"/>
      <family val="2"/>
      <scheme val="minor"/>
    </font>
    <font>
      <sz val="9"/>
      <color indexed="81"/>
      <name val="Tahoma"/>
      <family val="2"/>
    </font>
    <font>
      <sz val="9"/>
      <color theme="1"/>
      <name val="Calibri"/>
      <family val="2"/>
      <scheme val="minor"/>
    </font>
    <font>
      <b/>
      <sz val="9"/>
      <color theme="1"/>
      <name val="Calibri"/>
      <family val="2"/>
      <scheme val="minor"/>
    </font>
    <font>
      <i/>
      <sz val="11"/>
      <color theme="1"/>
      <name val="Calibri"/>
      <family val="2"/>
      <scheme val="minor"/>
    </font>
    <font>
      <i/>
      <sz val="9"/>
      <color theme="1"/>
      <name val="Calibri"/>
      <family val="2"/>
      <scheme val="minor"/>
    </font>
    <font>
      <b/>
      <i/>
      <sz val="9"/>
      <color theme="1"/>
      <name val="Calibri"/>
      <family val="2"/>
      <scheme val="minor"/>
    </font>
    <font>
      <u/>
      <sz val="11"/>
      <color theme="1"/>
      <name val="Calibri"/>
      <family val="2"/>
      <scheme val="minor"/>
    </font>
    <font>
      <b/>
      <u/>
      <sz val="11"/>
      <color theme="9"/>
      <name val="Calibri"/>
      <family val="2"/>
      <scheme val="minor"/>
    </font>
    <font>
      <sz val="11"/>
      <name val="Calibri"/>
      <family val="2"/>
      <scheme val="minor"/>
    </font>
    <font>
      <sz val="7"/>
      <color rgb="FF000000"/>
      <name val="Arial"/>
      <family val="2"/>
    </font>
    <font>
      <sz val="6"/>
      <color rgb="FF000000"/>
      <name val="Consolas"/>
      <family val="3"/>
    </font>
    <font>
      <b/>
      <sz val="7"/>
      <color rgb="FF000000"/>
      <name val="Arial"/>
      <family val="2"/>
    </font>
    <font>
      <b/>
      <i/>
      <sz val="11"/>
      <color theme="1"/>
      <name val="Calibri"/>
      <family val="2"/>
      <scheme val="minor"/>
    </font>
    <font>
      <b/>
      <sz val="10"/>
      <color theme="1"/>
      <name val="Calibri"/>
      <family val="2"/>
      <scheme val="minor"/>
    </font>
    <font>
      <sz val="10"/>
      <color theme="1"/>
      <name val="Calibri"/>
      <family val="2"/>
      <scheme val="minor"/>
    </font>
    <font>
      <i/>
      <sz val="11"/>
      <name val="Calibri"/>
      <family val="2"/>
      <scheme val="minor"/>
    </font>
  </fonts>
  <fills count="11">
    <fill>
      <patternFill patternType="none"/>
    </fill>
    <fill>
      <patternFill patternType="gray125"/>
    </fill>
    <fill>
      <patternFill patternType="solid">
        <fgColor theme="9" tint="0.59999389629810485"/>
        <bgColor indexed="64"/>
      </patternFill>
    </fill>
    <fill>
      <patternFill patternType="solid">
        <fgColor rgb="FFFFFFAF"/>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theme="0"/>
        <bgColor indexed="64"/>
      </patternFill>
    </fill>
    <fill>
      <patternFill patternType="solid">
        <fgColor theme="9" tint="0.59996337778862885"/>
        <bgColor indexed="64"/>
      </patternFill>
    </fill>
    <fill>
      <patternFill patternType="solid">
        <fgColor theme="0" tint="-0.14996795556505021"/>
        <bgColor indexed="64"/>
      </patternFill>
    </fill>
  </fills>
  <borders count="74">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theme="9" tint="-0.249977111117893"/>
      </left>
      <right style="thin">
        <color theme="9" tint="-0.249977111117893"/>
      </right>
      <top style="thin">
        <color theme="9" tint="-0.249977111117893"/>
      </top>
      <bottom style="thin">
        <color theme="9" tint="-0.249977111117893"/>
      </bottom>
      <diagonal/>
    </border>
    <border>
      <left/>
      <right/>
      <top style="thin">
        <color indexed="64"/>
      </top>
      <bottom style="thin">
        <color indexed="64"/>
      </bottom>
      <diagonal/>
    </border>
    <border>
      <left style="thin">
        <color theme="9" tint="-0.249977111117893"/>
      </left>
      <right style="thin">
        <color theme="9" tint="-0.249977111117893"/>
      </right>
      <top/>
      <bottom style="thin">
        <color theme="9" tint="-0.24997711111789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theme="9" tint="-0.249977111117893"/>
      </right>
      <top/>
      <bottom/>
      <diagonal/>
    </border>
    <border>
      <left style="thin">
        <color theme="9"/>
      </left>
      <right style="thin">
        <color theme="9"/>
      </right>
      <top style="thin">
        <color theme="9"/>
      </top>
      <bottom style="thin">
        <color theme="9"/>
      </bottom>
      <diagonal/>
    </border>
    <border>
      <left/>
      <right/>
      <top/>
      <bottom style="thin">
        <color theme="9"/>
      </bottom>
      <diagonal/>
    </border>
    <border>
      <left style="thin">
        <color theme="9"/>
      </left>
      <right style="thin">
        <color theme="9"/>
      </right>
      <top/>
      <bottom style="thin">
        <color theme="9"/>
      </bottom>
      <diagonal/>
    </border>
    <border>
      <left style="thin">
        <color indexed="64"/>
      </left>
      <right style="thin">
        <color indexed="64"/>
      </right>
      <top style="thin">
        <color indexed="64"/>
      </top>
      <bottom style="thin">
        <color indexed="64"/>
      </bottom>
      <diagonal/>
    </border>
    <border>
      <left style="thin">
        <color theme="9" tint="-0.249977111117893"/>
      </left>
      <right style="thin">
        <color theme="9" tint="-0.249977111117893"/>
      </right>
      <top/>
      <bottom/>
      <diagonal/>
    </border>
    <border>
      <left/>
      <right style="thin">
        <color indexed="64"/>
      </right>
      <top style="thin">
        <color indexed="64"/>
      </top>
      <bottom style="thin">
        <color indexed="64"/>
      </bottom>
      <diagonal/>
    </border>
    <border>
      <left style="thin">
        <color theme="9"/>
      </left>
      <right/>
      <top style="thin">
        <color theme="9"/>
      </top>
      <bottom style="thin">
        <color theme="9"/>
      </bottom>
      <diagonal/>
    </border>
    <border>
      <left/>
      <right style="thin">
        <color theme="9"/>
      </right>
      <top style="thin">
        <color theme="9"/>
      </top>
      <bottom style="thin">
        <color theme="9"/>
      </bottom>
      <diagonal/>
    </border>
    <border>
      <left style="thin">
        <color indexed="64"/>
      </left>
      <right/>
      <top style="thin">
        <color indexed="64"/>
      </top>
      <bottom style="thin">
        <color indexed="64"/>
      </bottom>
      <diagonal/>
    </border>
    <border>
      <left/>
      <right style="thin">
        <color theme="9"/>
      </right>
      <top/>
      <bottom/>
      <diagonal/>
    </border>
    <border>
      <left/>
      <right style="thin">
        <color theme="8"/>
      </right>
      <top/>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style="thin">
        <color theme="9" tint="-0.249977111117893"/>
      </left>
      <right style="thin">
        <color theme="9" tint="-0.249977111117893"/>
      </right>
      <top/>
      <bottom style="thin">
        <color theme="9"/>
      </bottom>
      <diagonal/>
    </border>
    <border>
      <left/>
      <right/>
      <top/>
      <bottom style="double">
        <color indexed="64"/>
      </bottom>
      <diagonal/>
    </border>
    <border>
      <left style="medium">
        <color indexed="64"/>
      </left>
      <right style="medium">
        <color indexed="64"/>
      </right>
      <top/>
      <bottom/>
      <diagonal/>
    </border>
    <border>
      <left/>
      <right/>
      <top style="medium">
        <color indexed="64"/>
      </top>
      <bottom style="double">
        <color indexed="64"/>
      </bottom>
      <diagonal/>
    </border>
    <border>
      <left style="thin">
        <color theme="9"/>
      </left>
      <right style="thin">
        <color theme="9"/>
      </right>
      <top style="medium">
        <color indexed="64"/>
      </top>
      <bottom style="double">
        <color indexed="64"/>
      </bottom>
      <diagonal/>
    </border>
    <border>
      <left style="thin">
        <color theme="9"/>
      </left>
      <right/>
      <top style="medium">
        <color indexed="64"/>
      </top>
      <bottom/>
      <diagonal/>
    </border>
    <border>
      <left style="thin">
        <color indexed="64"/>
      </left>
      <right style="thin">
        <color indexed="64"/>
      </right>
      <top/>
      <bottom/>
      <diagonal/>
    </border>
    <border>
      <left/>
      <right/>
      <top style="double">
        <color indexed="64"/>
      </top>
      <bottom/>
      <diagonal/>
    </border>
    <border>
      <left/>
      <right style="thin">
        <color theme="9"/>
      </right>
      <top style="medium">
        <color indexed="64"/>
      </top>
      <bottom/>
      <diagonal/>
    </border>
    <border>
      <left/>
      <right/>
      <top/>
      <bottom style="thin">
        <color theme="1"/>
      </bottom>
      <diagonal/>
    </border>
    <border>
      <left style="thin">
        <color indexed="64"/>
      </left>
      <right style="thin">
        <color indexed="64"/>
      </right>
      <top style="medium">
        <color indexed="64"/>
      </top>
      <bottom style="thin">
        <color indexed="64"/>
      </bottom>
      <diagonal/>
    </border>
    <border>
      <left/>
      <right/>
      <top style="thin">
        <color theme="9"/>
      </top>
      <bottom/>
      <diagonal/>
    </border>
    <border>
      <left style="thin">
        <color theme="9" tint="-0.24994659260841701"/>
      </left>
      <right style="thin">
        <color theme="9"/>
      </right>
      <top style="medium">
        <color indexed="64"/>
      </top>
      <bottom style="thin">
        <color theme="9"/>
      </bottom>
      <diagonal/>
    </border>
    <border>
      <left style="thin">
        <color theme="9"/>
      </left>
      <right style="thin">
        <color theme="9"/>
      </right>
      <top style="medium">
        <color auto="1"/>
      </top>
      <bottom style="thin">
        <color theme="9"/>
      </bottom>
      <diagonal/>
    </border>
    <border>
      <left style="thin">
        <color theme="9"/>
      </left>
      <right style="thin">
        <color theme="9"/>
      </right>
      <top/>
      <bottom/>
      <diagonal/>
    </border>
    <border>
      <left style="thin">
        <color indexed="64"/>
      </left>
      <right style="thin">
        <color theme="9"/>
      </right>
      <top style="thin">
        <color theme="9"/>
      </top>
      <bottom style="thin">
        <color theme="9"/>
      </bottom>
      <diagonal/>
    </border>
    <border>
      <left style="thin">
        <color theme="9"/>
      </left>
      <right style="thin">
        <color indexed="64"/>
      </right>
      <top style="thin">
        <color theme="9"/>
      </top>
      <bottom style="thin">
        <color theme="9"/>
      </bottom>
      <diagonal/>
    </border>
    <border>
      <left style="thin">
        <color indexed="64"/>
      </left>
      <right style="thin">
        <color theme="8"/>
      </right>
      <top style="thin">
        <color theme="8"/>
      </top>
      <bottom style="thin">
        <color theme="8"/>
      </bottom>
      <diagonal/>
    </border>
    <border>
      <left style="thin">
        <color theme="8"/>
      </left>
      <right style="thin">
        <color indexed="64"/>
      </right>
      <top style="thin">
        <color theme="8"/>
      </top>
      <bottom style="thin">
        <color theme="8"/>
      </bottom>
      <diagonal/>
    </border>
    <border>
      <left/>
      <right style="thin">
        <color rgb="FF3399FF"/>
      </right>
      <top style="thin">
        <color theme="8"/>
      </top>
      <bottom style="thin">
        <color theme="8"/>
      </bottom>
      <diagonal/>
    </border>
  </borders>
  <cellStyleXfs count="1">
    <xf numFmtId="0" fontId="0" fillId="0" borderId="0"/>
  </cellStyleXfs>
  <cellXfs count="301">
    <xf numFmtId="0" fontId="0" fillId="0" borderId="0" xfId="0"/>
    <xf numFmtId="1" fontId="0" fillId="0" borderId="0" xfId="0" applyNumberFormat="1"/>
    <xf numFmtId="0" fontId="0" fillId="0" borderId="0" xfId="0" applyAlignment="1">
      <alignment horizontal="right"/>
    </xf>
    <xf numFmtId="0" fontId="0" fillId="0" borderId="5" xfId="0" applyBorder="1"/>
    <xf numFmtId="0" fontId="1" fillId="0" borderId="0" xfId="0" applyFont="1"/>
    <xf numFmtId="164" fontId="0" fillId="0" borderId="7" xfId="0" applyNumberFormat="1" applyBorder="1" applyAlignment="1">
      <alignment horizontal="center"/>
    </xf>
    <xf numFmtId="0" fontId="0" fillId="0" borderId="8" xfId="0" applyBorder="1"/>
    <xf numFmtId="0" fontId="0" fillId="0" borderId="9" xfId="0" applyBorder="1"/>
    <xf numFmtId="0" fontId="0" fillId="0" borderId="9" xfId="0" applyBorder="1" applyAlignment="1">
      <alignment horizontal="center"/>
    </xf>
    <xf numFmtId="164" fontId="0" fillId="0" borderId="11" xfId="0" applyNumberFormat="1" applyBorder="1" applyAlignment="1">
      <alignment horizontal="center"/>
    </xf>
    <xf numFmtId="164" fontId="0" fillId="0" borderId="12" xfId="0" applyNumberFormat="1" applyBorder="1" applyAlignment="1">
      <alignment horizontal="center"/>
    </xf>
    <xf numFmtId="164" fontId="0" fillId="0" borderId="13" xfId="0" applyNumberFormat="1"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0" xfId="0"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1" fontId="0" fillId="0" borderId="0" xfId="0" applyNumberFormat="1" applyAlignment="1">
      <alignment horizontal="center"/>
    </xf>
    <xf numFmtId="164" fontId="0" fillId="0" borderId="0" xfId="0" applyNumberFormat="1" applyAlignment="1">
      <alignment horizontal="center"/>
    </xf>
    <xf numFmtId="0" fontId="0" fillId="0" borderId="3" xfId="0" applyBorder="1" applyAlignment="1">
      <alignment horizontal="center"/>
    </xf>
    <xf numFmtId="11" fontId="0" fillId="0" borderId="3" xfId="0" applyNumberFormat="1" applyBorder="1" applyAlignment="1">
      <alignment horizontal="center"/>
    </xf>
    <xf numFmtId="2" fontId="0" fillId="0" borderId="3" xfId="0" applyNumberFormat="1" applyBorder="1" applyAlignment="1">
      <alignment horizontal="center"/>
    </xf>
    <xf numFmtId="3" fontId="0" fillId="0" borderId="3" xfId="0" applyNumberFormat="1" applyBorder="1" applyAlignment="1">
      <alignment horizontal="center"/>
    </xf>
    <xf numFmtId="1" fontId="0" fillId="0" borderId="3" xfId="0" applyNumberFormat="1" applyBorder="1" applyAlignment="1">
      <alignment horizontal="center"/>
    </xf>
    <xf numFmtId="165" fontId="0" fillId="0" borderId="3" xfId="0" applyNumberFormat="1" applyBorder="1" applyAlignment="1">
      <alignment horizontal="center"/>
    </xf>
    <xf numFmtId="0" fontId="0" fillId="0" borderId="6" xfId="0" applyBorder="1" applyAlignment="1">
      <alignment horizontal="center"/>
    </xf>
    <xf numFmtId="11" fontId="0" fillId="0" borderId="2" xfId="0" applyNumberFormat="1" applyBorder="1" applyAlignment="1">
      <alignment horizontal="center"/>
    </xf>
    <xf numFmtId="2" fontId="0" fillId="0" borderId="2" xfId="0" applyNumberFormat="1" applyBorder="1" applyAlignment="1">
      <alignment horizontal="center"/>
    </xf>
    <xf numFmtId="0" fontId="0" fillId="0" borderId="2" xfId="0" applyBorder="1" applyAlignment="1">
      <alignment horizontal="center"/>
    </xf>
    <xf numFmtId="3" fontId="0" fillId="0" borderId="2" xfId="0" applyNumberFormat="1" applyBorder="1" applyAlignment="1">
      <alignment horizontal="center"/>
    </xf>
    <xf numFmtId="0" fontId="0" fillId="0" borderId="0" xfId="0" applyAlignment="1">
      <alignment horizontal="left"/>
    </xf>
    <xf numFmtId="0" fontId="4" fillId="0" borderId="0" xfId="0" applyFont="1"/>
    <xf numFmtId="0" fontId="3" fillId="0" borderId="0" xfId="0" applyFont="1"/>
    <xf numFmtId="0" fontId="5" fillId="0" borderId="5" xfId="0" applyFont="1" applyBorder="1" applyAlignment="1">
      <alignment horizontal="left"/>
    </xf>
    <xf numFmtId="0" fontId="1" fillId="0" borderId="5" xfId="0" applyFont="1" applyBorder="1" applyAlignment="1">
      <alignment horizontal="left"/>
    </xf>
    <xf numFmtId="0" fontId="0" fillId="0" borderId="29" xfId="0" applyBorder="1"/>
    <xf numFmtId="0" fontId="0" fillId="0" borderId="30" xfId="0" applyBorder="1"/>
    <xf numFmtId="0" fontId="0" fillId="0" borderId="32" xfId="0" applyBorder="1"/>
    <xf numFmtId="1" fontId="0" fillId="0" borderId="30" xfId="0" applyNumberFormat="1" applyBorder="1" applyAlignment="1">
      <alignment horizontal="center"/>
    </xf>
    <xf numFmtId="1" fontId="0" fillId="0" borderId="8" xfId="0" applyNumberFormat="1" applyBorder="1" applyAlignment="1">
      <alignment horizontal="center"/>
    </xf>
    <xf numFmtId="0" fontId="1" fillId="0" borderId="8" xfId="0" applyFont="1" applyBorder="1"/>
    <xf numFmtId="164" fontId="0" fillId="0" borderId="0" xfId="0" applyNumberFormat="1" applyAlignment="1">
      <alignment horizontal="right"/>
    </xf>
    <xf numFmtId="1" fontId="0" fillId="0" borderId="2" xfId="0" applyNumberFormat="1" applyBorder="1" applyAlignment="1">
      <alignment horizontal="center"/>
    </xf>
    <xf numFmtId="165" fontId="0" fillId="0" borderId="2" xfId="0" applyNumberFormat="1" applyBorder="1" applyAlignment="1">
      <alignment horizontal="center"/>
    </xf>
    <xf numFmtId="11" fontId="0" fillId="0" borderId="0" xfId="0" applyNumberFormat="1" applyAlignment="1">
      <alignment horizontal="center"/>
    </xf>
    <xf numFmtId="2" fontId="0" fillId="0" borderId="0" xfId="0" applyNumberFormat="1" applyAlignment="1">
      <alignment horizontal="center"/>
    </xf>
    <xf numFmtId="3" fontId="0" fillId="0" borderId="0" xfId="0" applyNumberFormat="1" applyAlignment="1">
      <alignment horizontal="center"/>
    </xf>
    <xf numFmtId="165" fontId="0" fillId="0" borderId="0" xfId="0" applyNumberFormat="1" applyAlignment="1">
      <alignment horizontal="center"/>
    </xf>
    <xf numFmtId="0" fontId="0" fillId="0" borderId="4"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49" fontId="0" fillId="0" borderId="0" xfId="0" applyNumberFormat="1"/>
    <xf numFmtId="0" fontId="0" fillId="0" borderId="8" xfId="0" applyBorder="1" applyAlignment="1">
      <alignment horizontal="right"/>
    </xf>
    <xf numFmtId="0" fontId="0" fillId="3" borderId="22" xfId="0" applyFill="1" applyBorder="1" applyAlignment="1">
      <alignment horizontal="center"/>
    </xf>
    <xf numFmtId="0" fontId="0" fillId="3" borderId="18" xfId="0" applyFill="1" applyBorder="1" applyAlignment="1">
      <alignment horizontal="center"/>
    </xf>
    <xf numFmtId="164" fontId="0" fillId="3" borderId="14" xfId="0" applyNumberFormat="1" applyFill="1" applyBorder="1" applyAlignment="1">
      <alignment horizontal="center"/>
    </xf>
    <xf numFmtId="166" fontId="0" fillId="3" borderId="10" xfId="0" applyNumberFormat="1" applyFill="1" applyBorder="1" applyAlignment="1">
      <alignment horizontal="center"/>
    </xf>
    <xf numFmtId="0" fontId="1" fillId="0" borderId="0" xfId="0" applyFont="1" applyAlignment="1">
      <alignment horizontal="left"/>
    </xf>
    <xf numFmtId="2" fontId="0" fillId="0" borderId="0" xfId="0" applyNumberFormat="1"/>
    <xf numFmtId="167" fontId="0" fillId="0" borderId="0" xfId="0" applyNumberFormat="1"/>
    <xf numFmtId="167" fontId="0" fillId="0" borderId="0" xfId="0" applyNumberFormat="1" applyAlignment="1">
      <alignment horizontal="right"/>
    </xf>
    <xf numFmtId="168" fontId="0" fillId="0" borderId="0" xfId="0" applyNumberFormat="1"/>
    <xf numFmtId="169" fontId="0" fillId="0" borderId="0" xfId="0" applyNumberFormat="1"/>
    <xf numFmtId="169" fontId="0" fillId="0" borderId="0" xfId="0" applyNumberFormat="1" applyAlignment="1">
      <alignment horizontal="right"/>
    </xf>
    <xf numFmtId="0" fontId="0" fillId="0" borderId="5" xfId="0" applyBorder="1" applyAlignment="1">
      <alignment horizontal="right"/>
    </xf>
    <xf numFmtId="0" fontId="1" fillId="0" borderId="5" xfId="0" applyFont="1" applyBorder="1"/>
    <xf numFmtId="1" fontId="0" fillId="0" borderId="33" xfId="0" applyNumberFormat="1" applyBorder="1" applyAlignment="1">
      <alignment horizontal="center"/>
    </xf>
    <xf numFmtId="0" fontId="1" fillId="0" borderId="0" xfId="0" applyFont="1" applyAlignment="1">
      <alignment horizontal="right"/>
    </xf>
    <xf numFmtId="0" fontId="1" fillId="0" borderId="0" xfId="0" applyFont="1" applyAlignment="1">
      <alignment wrapText="1"/>
    </xf>
    <xf numFmtId="170" fontId="0" fillId="3" borderId="39" xfId="0" applyNumberFormat="1" applyFill="1" applyBorder="1" applyAlignment="1">
      <alignment horizontal="center"/>
    </xf>
    <xf numFmtId="0" fontId="0" fillId="0" borderId="40" xfId="0" applyBorder="1" applyAlignment="1">
      <alignment horizontal="right"/>
    </xf>
    <xf numFmtId="167" fontId="0" fillId="0" borderId="0" xfId="0" applyNumberFormat="1" applyAlignment="1">
      <alignment horizontal="center"/>
    </xf>
    <xf numFmtId="0" fontId="0" fillId="0" borderId="5" xfId="0" applyBorder="1" applyAlignment="1">
      <alignment horizontal="center"/>
    </xf>
    <xf numFmtId="172" fontId="0" fillId="0" borderId="2" xfId="0" applyNumberFormat="1" applyBorder="1" applyAlignment="1">
      <alignment horizontal="center"/>
    </xf>
    <xf numFmtId="172" fontId="0" fillId="0" borderId="3" xfId="0" applyNumberFormat="1" applyBorder="1" applyAlignment="1">
      <alignment horizontal="center"/>
    </xf>
    <xf numFmtId="0" fontId="11" fillId="0" borderId="0" xfId="0" applyFont="1" applyAlignment="1">
      <alignment horizontal="center"/>
    </xf>
    <xf numFmtId="0" fontId="12" fillId="0" borderId="0" xfId="0" applyFont="1" applyAlignment="1">
      <alignment horizontal="center" wrapText="1"/>
    </xf>
    <xf numFmtId="2" fontId="11" fillId="0" borderId="0" xfId="0" applyNumberFormat="1"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wrapText="1"/>
    </xf>
    <xf numFmtId="0" fontId="0" fillId="0" borderId="0" xfId="0" applyAlignment="1">
      <alignment wrapText="1"/>
    </xf>
    <xf numFmtId="0" fontId="0" fillId="0" borderId="44" xfId="0" applyBorder="1" applyAlignment="1">
      <alignment horizontal="center"/>
    </xf>
    <xf numFmtId="173" fontId="0" fillId="0" borderId="0" xfId="0" applyNumberFormat="1"/>
    <xf numFmtId="173" fontId="0" fillId="0" borderId="31" xfId="0" applyNumberFormat="1" applyBorder="1" applyAlignment="1">
      <alignment horizontal="center"/>
    </xf>
    <xf numFmtId="173" fontId="0" fillId="0" borderId="34" xfId="0" applyNumberFormat="1" applyBorder="1" applyAlignment="1">
      <alignment horizontal="center"/>
    </xf>
    <xf numFmtId="173" fontId="0" fillId="3" borderId="38" xfId="0" applyNumberFormat="1" applyFill="1" applyBorder="1" applyAlignment="1">
      <alignment horizontal="center"/>
    </xf>
    <xf numFmtId="173" fontId="0" fillId="0" borderId="0" xfId="0" applyNumberFormat="1" applyAlignment="1">
      <alignment horizontal="right"/>
    </xf>
    <xf numFmtId="0" fontId="0" fillId="0" borderId="46" xfId="0" applyBorder="1" applyAlignment="1">
      <alignment horizontal="center"/>
    </xf>
    <xf numFmtId="3" fontId="1" fillId="0" borderId="0" xfId="0" applyNumberFormat="1" applyFont="1"/>
    <xf numFmtId="168" fontId="0" fillId="0" borderId="0" xfId="0" applyNumberFormat="1" applyAlignment="1">
      <alignment horizontal="right" vertical="center"/>
    </xf>
    <xf numFmtId="174" fontId="0" fillId="3" borderId="37" xfId="0" applyNumberFormat="1" applyFill="1" applyBorder="1" applyAlignment="1">
      <alignment horizontal="center"/>
    </xf>
    <xf numFmtId="174" fontId="0" fillId="3" borderId="18" xfId="0" applyNumberFormat="1" applyFill="1" applyBorder="1" applyAlignment="1">
      <alignment horizontal="center"/>
    </xf>
    <xf numFmtId="0" fontId="0" fillId="0" borderId="0" xfId="0" applyAlignment="1">
      <alignment horizontal="left" vertical="top" wrapText="1"/>
    </xf>
    <xf numFmtId="0" fontId="14" fillId="0" borderId="0" xfId="0" applyFont="1" applyAlignment="1">
      <alignment horizontal="left" vertical="top" wrapText="1"/>
    </xf>
    <xf numFmtId="0" fontId="0" fillId="0" borderId="27" xfId="0" applyBorder="1" applyAlignment="1">
      <alignment horizontal="left"/>
    </xf>
    <xf numFmtId="0" fontId="1" fillId="0" borderId="0" xfId="0" applyFont="1" applyAlignment="1">
      <alignment horizontal="center"/>
    </xf>
    <xf numFmtId="0" fontId="0" fillId="5" borderId="0" xfId="0" applyFill="1"/>
    <xf numFmtId="0" fontId="5" fillId="0" borderId="0" xfId="0" applyFont="1" applyAlignment="1">
      <alignment horizontal="left"/>
    </xf>
    <xf numFmtId="49" fontId="0" fillId="0" borderId="0" xfId="0" applyNumberFormat="1" applyAlignment="1">
      <alignment horizontal="left"/>
    </xf>
    <xf numFmtId="0" fontId="0" fillId="0" borderId="27" xfId="0" applyBorder="1"/>
    <xf numFmtId="0" fontId="0" fillId="0" borderId="1" xfId="0" applyBorder="1"/>
    <xf numFmtId="0" fontId="0" fillId="0" borderId="0" xfId="0" applyAlignment="1">
      <alignment horizontal="left" wrapText="1"/>
    </xf>
    <xf numFmtId="0" fontId="0" fillId="0" borderId="0" xfId="0" applyAlignment="1">
      <alignment vertical="top"/>
    </xf>
    <xf numFmtId="169" fontId="0" fillId="3" borderId="37" xfId="0" applyNumberFormat="1" applyFill="1" applyBorder="1" applyAlignment="1">
      <alignment horizontal="center"/>
    </xf>
    <xf numFmtId="0" fontId="0" fillId="5" borderId="0" xfId="0" applyFill="1" applyAlignment="1">
      <alignment horizontal="center"/>
    </xf>
    <xf numFmtId="0" fontId="0" fillId="0" borderId="0" xfId="0" applyAlignment="1">
      <alignment horizontal="center" vertical="center" wrapText="1"/>
    </xf>
    <xf numFmtId="0" fontId="0" fillId="0" borderId="30" xfId="0" quotePrefix="1" applyBorder="1" applyAlignment="1">
      <alignment horizontal="left" vertical="center"/>
    </xf>
    <xf numFmtId="0" fontId="0" fillId="0" borderId="0" xfId="0" quotePrefix="1" applyAlignment="1">
      <alignment vertical="center"/>
    </xf>
    <xf numFmtId="0" fontId="0" fillId="0" borderId="0" xfId="0" quotePrefix="1" applyAlignment="1">
      <alignment horizontal="left" vertical="center" wrapText="1"/>
    </xf>
    <xf numFmtId="0" fontId="0" fillId="0" borderId="0" xfId="0" quotePrefix="1" applyAlignment="1">
      <alignment vertical="center" wrapText="1"/>
    </xf>
    <xf numFmtId="0" fontId="0" fillId="0" borderId="0" xfId="0" applyAlignment="1">
      <alignment vertical="center" wrapText="1"/>
    </xf>
    <xf numFmtId="0" fontId="0" fillId="0" borderId="0" xfId="0" quotePrefix="1"/>
    <xf numFmtId="0" fontId="0" fillId="0" borderId="0" xfId="0" quotePrefix="1" applyAlignment="1">
      <alignment horizontal="left" vertical="top" wrapText="1"/>
    </xf>
    <xf numFmtId="0" fontId="0" fillId="0" borderId="0" xfId="0" quotePrefix="1" applyAlignment="1">
      <alignment vertical="top" wrapText="1"/>
    </xf>
    <xf numFmtId="0" fontId="1" fillId="0" borderId="0" xfId="0" applyFont="1" applyAlignment="1">
      <alignment horizontal="right" vertical="top"/>
    </xf>
    <xf numFmtId="0" fontId="0" fillId="0" borderId="0" xfId="0" quotePrefix="1" applyAlignment="1">
      <alignment vertical="top"/>
    </xf>
    <xf numFmtId="173" fontId="0" fillId="2" borderId="43" xfId="0" applyNumberFormat="1" applyFill="1" applyBorder="1" applyProtection="1">
      <protection locked="0"/>
    </xf>
    <xf numFmtId="168" fontId="0" fillId="2" borderId="41" xfId="0" applyNumberFormat="1" applyFill="1" applyBorder="1" applyProtection="1">
      <protection locked="0"/>
    </xf>
    <xf numFmtId="168" fontId="0" fillId="2" borderId="28" xfId="0" applyNumberFormat="1" applyFill="1" applyBorder="1" applyProtection="1">
      <protection locked="0"/>
    </xf>
    <xf numFmtId="168" fontId="0" fillId="2" borderId="26" xfId="0" applyNumberFormat="1" applyFill="1" applyBorder="1" applyProtection="1">
      <protection locked="0"/>
    </xf>
    <xf numFmtId="11" fontId="0" fillId="2" borderId="41" xfId="0" applyNumberFormat="1" applyFill="1" applyBorder="1" applyAlignment="1" applyProtection="1">
      <alignment horizontal="center"/>
      <protection locked="0"/>
    </xf>
    <xf numFmtId="0" fontId="0" fillId="2" borderId="41" xfId="0" applyFill="1" applyBorder="1" applyAlignment="1" applyProtection="1">
      <alignment horizontal="center"/>
      <protection locked="0"/>
    </xf>
    <xf numFmtId="173" fontId="0" fillId="2" borderId="54" xfId="0" applyNumberFormat="1" applyFill="1" applyBorder="1" applyProtection="1">
      <protection locked="0"/>
    </xf>
    <xf numFmtId="168" fontId="0" fillId="2" borderId="45" xfId="0" applyNumberFormat="1" applyFill="1" applyBorder="1" applyProtection="1">
      <protection locked="0"/>
    </xf>
    <xf numFmtId="11" fontId="0" fillId="2" borderId="26" xfId="0" applyNumberFormat="1" applyFill="1" applyBorder="1" applyAlignment="1" applyProtection="1">
      <alignment horizontal="center"/>
      <protection locked="0"/>
    </xf>
    <xf numFmtId="173" fontId="0" fillId="3" borderId="56" xfId="0" applyNumberFormat="1" applyFill="1" applyBorder="1" applyAlignment="1">
      <alignment horizontal="center"/>
    </xf>
    <xf numFmtId="169" fontId="0" fillId="3" borderId="39" xfId="0" applyNumberFormat="1" applyFill="1" applyBorder="1" applyAlignment="1">
      <alignment horizontal="center"/>
    </xf>
    <xf numFmtId="164" fontId="0" fillId="0" borderId="2" xfId="0" applyNumberFormat="1" applyBorder="1" applyAlignment="1">
      <alignment horizontal="center"/>
    </xf>
    <xf numFmtId="0" fontId="0" fillId="2" borderId="58" xfId="0" applyFill="1" applyBorder="1" applyAlignment="1">
      <alignment horizontal="center"/>
    </xf>
    <xf numFmtId="0" fontId="0" fillId="0" borderId="60" xfId="0" applyBorder="1" applyAlignment="1">
      <alignment horizontal="center"/>
    </xf>
    <xf numFmtId="164" fontId="1" fillId="0" borderId="0" xfId="0" applyNumberFormat="1" applyFont="1" applyAlignment="1">
      <alignment horizontal="right"/>
    </xf>
    <xf numFmtId="169" fontId="0" fillId="0" borderId="0" xfId="0" applyNumberFormat="1" applyAlignment="1">
      <alignment horizontal="center"/>
    </xf>
    <xf numFmtId="164" fontId="0" fillId="0" borderId="0" xfId="0" applyNumberFormat="1" applyAlignment="1">
      <alignment horizontal="left"/>
    </xf>
    <xf numFmtId="1" fontId="0" fillId="2" borderId="43" xfId="0" applyNumberFormat="1" applyFill="1" applyBorder="1" applyAlignment="1" applyProtection="1">
      <alignment horizontal="center"/>
      <protection locked="0"/>
    </xf>
    <xf numFmtId="0" fontId="18" fillId="0" borderId="61" xfId="0" quotePrefix="1" applyFont="1" applyBorder="1" applyAlignment="1">
      <alignment horizontal="left" wrapText="1"/>
    </xf>
    <xf numFmtId="0" fontId="19" fillId="0" borderId="0" xfId="0" applyFont="1" applyAlignment="1">
      <alignment horizontal="left" vertical="center" indent="1"/>
    </xf>
    <xf numFmtId="0" fontId="21" fillId="0" borderId="0" xfId="0" applyFont="1" applyAlignment="1">
      <alignment horizontal="left" vertical="center" indent="1"/>
    </xf>
    <xf numFmtId="0" fontId="0" fillId="5" borderId="0" xfId="0" applyFill="1" applyAlignment="1">
      <alignment horizontal="left" vertical="top"/>
    </xf>
    <xf numFmtId="0" fontId="20" fillId="0" borderId="0" xfId="0" applyFont="1" applyAlignment="1">
      <alignment horizontal="left" vertical="center" indent="1"/>
    </xf>
    <xf numFmtId="0" fontId="0" fillId="0" borderId="0" xfId="0" applyAlignment="1">
      <alignment vertical="top" wrapText="1"/>
    </xf>
    <xf numFmtId="0" fontId="0" fillId="0" borderId="0" xfId="0" applyAlignment="1">
      <alignment horizontal="center" vertical="center"/>
    </xf>
    <xf numFmtId="0" fontId="1" fillId="0" borderId="33" xfId="0" applyFont="1" applyBorder="1" applyAlignment="1">
      <alignment horizontal="right"/>
    </xf>
    <xf numFmtId="0" fontId="0" fillId="6" borderId="0" xfId="0" applyFill="1"/>
    <xf numFmtId="0" fontId="0" fillId="0" borderId="63" xfId="0" applyBorder="1"/>
    <xf numFmtId="0" fontId="0" fillId="0" borderId="42" xfId="0" applyBorder="1"/>
    <xf numFmtId="0" fontId="0" fillId="6" borderId="0" xfId="0" applyFill="1" applyAlignment="1">
      <alignment horizontal="left"/>
    </xf>
    <xf numFmtId="0" fontId="0" fillId="0" borderId="42" xfId="0" applyBorder="1" applyAlignment="1">
      <alignment horizontal="left"/>
    </xf>
    <xf numFmtId="0" fontId="0" fillId="0" borderId="63" xfId="0" applyBorder="1" applyAlignment="1">
      <alignment horizontal="left"/>
    </xf>
    <xf numFmtId="0" fontId="0" fillId="6" borderId="0" xfId="0" quotePrefix="1" applyFill="1" applyAlignment="1">
      <alignment horizontal="right"/>
    </xf>
    <xf numFmtId="0" fontId="0" fillId="0" borderId="0" xfId="0" quotePrefix="1" applyAlignment="1">
      <alignment horizontal="right"/>
    </xf>
    <xf numFmtId="0" fontId="0" fillId="0" borderId="42" xfId="0" quotePrefix="1" applyBorder="1" applyAlignment="1">
      <alignment horizontal="right"/>
    </xf>
    <xf numFmtId="0" fontId="0" fillId="6" borderId="0" xfId="0" applyFill="1" applyAlignment="1">
      <alignment horizontal="right"/>
    </xf>
    <xf numFmtId="0" fontId="0" fillId="0" borderId="42" xfId="0" applyBorder="1" applyAlignment="1">
      <alignment horizontal="right"/>
    </xf>
    <xf numFmtId="0" fontId="0" fillId="0" borderId="5" xfId="0" quotePrefix="1" applyBorder="1" applyAlignment="1">
      <alignment horizontal="right"/>
    </xf>
    <xf numFmtId="0" fontId="0" fillId="0" borderId="0" xfId="0" applyAlignment="1">
      <alignment vertical="center"/>
    </xf>
    <xf numFmtId="0" fontId="11" fillId="0" borderId="0" xfId="0" applyFont="1" applyAlignment="1">
      <alignment horizontal="center" vertical="center" wrapText="1"/>
    </xf>
    <xf numFmtId="1" fontId="1" fillId="0" borderId="0" xfId="0" applyNumberFormat="1" applyFont="1" applyAlignment="1">
      <alignment horizontal="right"/>
    </xf>
    <xf numFmtId="0" fontId="0" fillId="7" borderId="44" xfId="0" applyFill="1" applyBorder="1" applyAlignment="1">
      <alignment horizontal="center"/>
    </xf>
    <xf numFmtId="1" fontId="0" fillId="7" borderId="64" xfId="0" applyNumberFormat="1" applyFill="1" applyBorder="1" applyAlignment="1">
      <alignment horizontal="center"/>
    </xf>
    <xf numFmtId="1" fontId="0" fillId="8" borderId="0" xfId="0" applyNumberFormat="1" applyFill="1" applyAlignment="1">
      <alignment horizontal="center"/>
    </xf>
    <xf numFmtId="171" fontId="0" fillId="0" borderId="50" xfId="0" applyNumberFormat="1" applyBorder="1" applyAlignment="1">
      <alignment horizontal="right"/>
    </xf>
    <xf numFmtId="11" fontId="0" fillId="7" borderId="44" xfId="0" applyNumberFormat="1" applyFill="1" applyBorder="1" applyAlignment="1">
      <alignment horizontal="center"/>
    </xf>
    <xf numFmtId="171" fontId="0" fillId="0" borderId="0" xfId="0" applyNumberFormat="1" applyAlignment="1" applyProtection="1">
      <alignment horizontal="center"/>
      <protection locked="0"/>
    </xf>
    <xf numFmtId="171" fontId="0" fillId="0" borderId="65" xfId="0" applyNumberFormat="1" applyBorder="1" applyAlignment="1" applyProtection="1">
      <alignment horizontal="center"/>
      <protection locked="0"/>
    </xf>
    <xf numFmtId="0" fontId="0" fillId="0" borderId="5" xfId="0" applyBorder="1" applyAlignment="1">
      <alignment horizontal="left"/>
    </xf>
    <xf numFmtId="0" fontId="1" fillId="0" borderId="0" xfId="0" applyFont="1" applyAlignment="1">
      <alignment horizontal="center" vertical="center"/>
    </xf>
    <xf numFmtId="0" fontId="1" fillId="0" borderId="0" xfId="0" applyFont="1" applyAlignment="1">
      <alignment horizontal="left" vertical="center"/>
    </xf>
    <xf numFmtId="0" fontId="0" fillId="0" borderId="30" xfId="0" applyBorder="1" applyAlignment="1">
      <alignment horizontal="right"/>
    </xf>
    <xf numFmtId="1" fontId="0" fillId="0" borderId="30" xfId="0" applyNumberFormat="1" applyBorder="1" applyAlignment="1">
      <alignment horizontal="right"/>
    </xf>
    <xf numFmtId="0" fontId="0" fillId="0" borderId="50" xfId="0" applyBorder="1" applyAlignment="1" applyProtection="1">
      <alignment horizontal="right"/>
      <protection locked="0"/>
    </xf>
    <xf numFmtId="13" fontId="0" fillId="0" borderId="50" xfId="0" applyNumberFormat="1" applyBorder="1" applyAlignment="1" applyProtection="1">
      <alignment horizontal="right"/>
      <protection locked="0"/>
    </xf>
    <xf numFmtId="0" fontId="0" fillId="0" borderId="51" xfId="0" applyBorder="1" applyAlignment="1" applyProtection="1">
      <alignment horizontal="right"/>
      <protection locked="0"/>
    </xf>
    <xf numFmtId="1" fontId="0" fillId="9" borderId="66" xfId="0" applyNumberFormat="1" applyFill="1" applyBorder="1" applyAlignment="1" applyProtection="1">
      <alignment horizontal="center" vertical="center"/>
      <protection locked="0"/>
    </xf>
    <xf numFmtId="0" fontId="0" fillId="0" borderId="0" xfId="0" applyAlignment="1" applyProtection="1">
      <alignment horizontal="right"/>
      <protection locked="0"/>
    </xf>
    <xf numFmtId="1" fontId="0" fillId="7" borderId="64" xfId="0" applyNumberFormat="1" applyFill="1" applyBorder="1" applyAlignment="1">
      <alignment horizontal="center" vertical="center"/>
    </xf>
    <xf numFmtId="13" fontId="0" fillId="0" borderId="0" xfId="0" applyNumberFormat="1" applyAlignment="1" applyProtection="1">
      <alignment horizontal="right"/>
      <protection locked="0"/>
    </xf>
    <xf numFmtId="13" fontId="0" fillId="0" borderId="0" xfId="0" applyNumberFormat="1" applyAlignment="1">
      <alignment horizontal="right"/>
    </xf>
    <xf numFmtId="1" fontId="0" fillId="0" borderId="0" xfId="0" applyNumberFormat="1" applyAlignment="1">
      <alignment horizontal="right"/>
    </xf>
    <xf numFmtId="1" fontId="0" fillId="0" borderId="0" xfId="0" applyNumberFormat="1" applyAlignment="1">
      <alignment horizontal="center" vertical="center"/>
    </xf>
    <xf numFmtId="13" fontId="0" fillId="0" borderId="0" xfId="0" applyNumberFormat="1" applyAlignment="1">
      <alignment horizontal="center"/>
    </xf>
    <xf numFmtId="0" fontId="0" fillId="9" borderId="41" xfId="0" applyFill="1" applyBorder="1" applyAlignment="1" applyProtection="1">
      <alignment horizontal="center"/>
      <protection locked="0"/>
    </xf>
    <xf numFmtId="0" fontId="0" fillId="2" borderId="68" xfId="0" applyFill="1" applyBorder="1" applyAlignment="1" applyProtection="1">
      <alignment horizontal="center"/>
      <protection locked="0"/>
    </xf>
    <xf numFmtId="0" fontId="0" fillId="0" borderId="42" xfId="0" applyBorder="1" applyAlignment="1">
      <alignment horizontal="center"/>
    </xf>
    <xf numFmtId="0" fontId="0" fillId="2" borderId="67" xfId="0" applyFill="1" applyBorder="1" applyAlignment="1" applyProtection="1">
      <alignment horizontal="center"/>
      <protection locked="0"/>
    </xf>
    <xf numFmtId="0" fontId="0" fillId="7" borderId="64" xfId="0" applyFill="1" applyBorder="1" applyAlignment="1">
      <alignment horizontal="center"/>
    </xf>
    <xf numFmtId="0" fontId="0" fillId="10" borderId="44" xfId="0" applyFill="1" applyBorder="1" applyAlignment="1">
      <alignment horizontal="center"/>
    </xf>
    <xf numFmtId="0" fontId="0" fillId="0" borderId="30" xfId="0" applyBorder="1" applyAlignment="1">
      <alignment vertical="center" wrapText="1"/>
    </xf>
    <xf numFmtId="0" fontId="0" fillId="9" borderId="67" xfId="0" applyFill="1" applyBorder="1" applyAlignment="1">
      <alignment horizontal="center"/>
    </xf>
    <xf numFmtId="0" fontId="0" fillId="0" borderId="0" xfId="0" quotePrefix="1" applyAlignment="1">
      <alignment horizontal="left" wrapText="1"/>
    </xf>
    <xf numFmtId="11" fontId="0" fillId="2" borderId="69" xfId="0" applyNumberFormat="1" applyFill="1" applyBorder="1" applyAlignment="1" applyProtection="1">
      <alignment horizontal="center"/>
      <protection locked="0"/>
    </xf>
    <xf numFmtId="11" fontId="0" fillId="2" borderId="70" xfId="0" applyNumberFormat="1" applyFill="1" applyBorder="1" applyAlignment="1" applyProtection="1">
      <alignment horizontal="center"/>
      <protection locked="0"/>
    </xf>
    <xf numFmtId="0" fontId="0" fillId="2" borderId="69" xfId="0" applyFill="1" applyBorder="1" applyAlignment="1" applyProtection="1">
      <alignment horizontal="center"/>
      <protection locked="0"/>
    </xf>
    <xf numFmtId="0" fontId="0" fillId="2" borderId="70" xfId="0" applyFill="1" applyBorder="1" applyAlignment="1" applyProtection="1">
      <alignment horizontal="center"/>
      <protection locked="0"/>
    </xf>
    <xf numFmtId="0" fontId="0" fillId="4" borderId="71" xfId="0" applyFill="1" applyBorder="1" applyAlignment="1" applyProtection="1">
      <alignment horizontal="center"/>
      <protection locked="0"/>
    </xf>
    <xf numFmtId="0" fontId="0" fillId="4" borderId="72" xfId="0" applyFill="1" applyBorder="1" applyAlignment="1" applyProtection="1">
      <alignment horizontal="center"/>
      <protection locked="0"/>
    </xf>
    <xf numFmtId="0" fontId="0" fillId="0" borderId="0" xfId="0" applyAlignment="1" applyProtection="1">
      <alignment horizontal="center"/>
      <protection locked="0"/>
    </xf>
    <xf numFmtId="0" fontId="0" fillId="0" borderId="2" xfId="0" applyBorder="1" applyAlignment="1">
      <alignment horizontal="left"/>
    </xf>
    <xf numFmtId="0" fontId="0" fillId="0" borderId="2" xfId="0" applyBorder="1"/>
    <xf numFmtId="1" fontId="0" fillId="2" borderId="69" xfId="0" applyNumberFormat="1" applyFill="1" applyBorder="1" applyAlignment="1" applyProtection="1">
      <alignment horizontal="center"/>
      <protection locked="0"/>
    </xf>
    <xf numFmtId="1" fontId="0" fillId="2" borderId="70" xfId="0" applyNumberFormat="1" applyFill="1" applyBorder="1" applyAlignment="1" applyProtection="1">
      <alignment horizontal="center"/>
      <protection locked="0"/>
    </xf>
    <xf numFmtId="2" fontId="0" fillId="2" borderId="26" xfId="0" applyNumberFormat="1" applyFill="1" applyBorder="1" applyAlignment="1" applyProtection="1">
      <alignment horizontal="center"/>
      <protection locked="0"/>
    </xf>
    <xf numFmtId="2" fontId="0" fillId="7" borderId="44" xfId="0" applyNumberFormat="1" applyFill="1" applyBorder="1" applyAlignment="1">
      <alignment horizontal="center"/>
    </xf>
    <xf numFmtId="0" fontId="0" fillId="5" borderId="0" xfId="0" applyFill="1" applyAlignment="1">
      <alignment horizontal="center"/>
    </xf>
    <xf numFmtId="0" fontId="1" fillId="0" borderId="8" xfId="0" applyFont="1" applyBorder="1" applyAlignment="1">
      <alignment horizontal="center" vertical="center"/>
    </xf>
    <xf numFmtId="0" fontId="0" fillId="0" borderId="0" xfId="0" applyAlignment="1">
      <alignment horizontal="center" vertical="top" wrapText="1"/>
    </xf>
    <xf numFmtId="0" fontId="0" fillId="0" borderId="0" xfId="0" applyAlignment="1">
      <alignment horizontal="left" vertical="top" wrapText="1"/>
    </xf>
    <xf numFmtId="0" fontId="1" fillId="0" borderId="8" xfId="0" applyFont="1" applyBorder="1" applyAlignment="1">
      <alignment horizontal="center"/>
    </xf>
    <xf numFmtId="0" fontId="0" fillId="0" borderId="30" xfId="0" applyBorder="1" applyAlignment="1">
      <alignment horizontal="left" vertical="top" wrapText="1"/>
    </xf>
    <xf numFmtId="14" fontId="0" fillId="0" borderId="0" xfId="0" applyNumberFormat="1" applyAlignment="1">
      <alignment horizontal="center" vertical="center"/>
    </xf>
    <xf numFmtId="0" fontId="0" fillId="0" borderId="0" xfId="0" applyAlignment="1">
      <alignment horizontal="center" vertical="center"/>
    </xf>
    <xf numFmtId="0" fontId="14" fillId="0" borderId="30" xfId="0" applyFont="1" applyBorder="1" applyAlignment="1">
      <alignment horizontal="left" vertical="top" wrapText="1"/>
    </xf>
    <xf numFmtId="0" fontId="0" fillId="0" borderId="0" xfId="0" applyAlignment="1">
      <alignment wrapText="1"/>
    </xf>
    <xf numFmtId="0" fontId="18" fillId="0" borderId="0" xfId="0" applyFont="1" applyAlignment="1">
      <alignment horizontal="left" vertical="top" wrapText="1"/>
    </xf>
    <xf numFmtId="0" fontId="22" fillId="0" borderId="0" xfId="0" applyFont="1" applyAlignment="1">
      <alignment horizontal="center" wrapText="1"/>
    </xf>
    <xf numFmtId="0" fontId="1" fillId="0" borderId="0" xfId="0" applyFont="1" applyAlignment="1">
      <alignment horizontal="center"/>
    </xf>
    <xf numFmtId="0" fontId="1" fillId="0" borderId="0" xfId="0" applyFont="1" applyAlignment="1">
      <alignment horizontal="right" vertical="top" wrapText="1"/>
    </xf>
    <xf numFmtId="0" fontId="1" fillId="0" borderId="55" xfId="0" applyFont="1" applyBorder="1" applyAlignment="1">
      <alignment horizontal="center"/>
    </xf>
    <xf numFmtId="0" fontId="0" fillId="0" borderId="1" xfId="0" applyBorder="1" applyAlignment="1">
      <alignment horizontal="right"/>
    </xf>
    <xf numFmtId="0" fontId="0" fillId="0" borderId="0" xfId="0" applyAlignment="1">
      <alignment horizontal="right"/>
    </xf>
    <xf numFmtId="0" fontId="9" fillId="0" borderId="8" xfId="0" applyFont="1" applyBorder="1" applyAlignment="1">
      <alignment horizontal="center"/>
    </xf>
    <xf numFmtId="0" fontId="1" fillId="0" borderId="0" xfId="0" applyFont="1" applyAlignment="1">
      <alignment horizontal="right"/>
    </xf>
    <xf numFmtId="0" fontId="1" fillId="0" borderId="33" xfId="0" applyFont="1" applyBorder="1" applyAlignment="1">
      <alignment horizontal="right"/>
    </xf>
    <xf numFmtId="164" fontId="1" fillId="0" borderId="0" xfId="0" applyNumberFormat="1" applyFont="1" applyAlignment="1">
      <alignment horizontal="right"/>
    </xf>
    <xf numFmtId="0" fontId="1" fillId="0" borderId="0" xfId="0" applyFont="1" applyAlignment="1">
      <alignment horizontal="left"/>
    </xf>
    <xf numFmtId="0" fontId="14" fillId="0" borderId="30" xfId="0" applyFont="1" applyBorder="1" applyAlignment="1">
      <alignment vertical="center" wrapText="1"/>
    </xf>
    <xf numFmtId="0" fontId="0" fillId="0" borderId="30" xfId="0" applyBorder="1" applyAlignment="1">
      <alignment vertical="center" wrapText="1"/>
    </xf>
    <xf numFmtId="0" fontId="0" fillId="0" borderId="0" xfId="0" applyAlignment="1">
      <alignment vertical="center" wrapText="1"/>
    </xf>
    <xf numFmtId="0" fontId="6" fillId="0" borderId="0" xfId="0" applyFont="1" applyAlignment="1">
      <alignment horizontal="left"/>
    </xf>
    <xf numFmtId="0" fontId="0" fillId="0" borderId="5" xfId="0" applyBorder="1" applyAlignment="1" applyProtection="1">
      <alignment horizontal="left"/>
      <protection locked="0"/>
    </xf>
    <xf numFmtId="49" fontId="0" fillId="0" borderId="5" xfId="0" applyNumberFormat="1" applyBorder="1" applyAlignment="1" applyProtection="1">
      <alignment horizontal="left"/>
      <protection locked="0"/>
    </xf>
    <xf numFmtId="0" fontId="1" fillId="0" borderId="32" xfId="0" applyFont="1" applyBorder="1" applyAlignment="1">
      <alignment horizontal="right"/>
    </xf>
    <xf numFmtId="0" fontId="0" fillId="0" borderId="57" xfId="0" applyBorder="1" applyAlignment="1">
      <alignment horizontal="right"/>
    </xf>
    <xf numFmtId="0" fontId="0" fillId="0" borderId="5" xfId="0" applyBorder="1" applyAlignment="1">
      <alignment horizontal="center"/>
    </xf>
    <xf numFmtId="0" fontId="0" fillId="0" borderId="6" xfId="0" applyBorder="1" applyAlignment="1">
      <alignment horizontal="center"/>
    </xf>
    <xf numFmtId="0" fontId="0" fillId="0" borderId="0" xfId="0" applyAlignment="1">
      <alignment horizontal="center"/>
    </xf>
    <xf numFmtId="0" fontId="0" fillId="0" borderId="30" xfId="0" applyBorder="1" applyAlignment="1">
      <alignment horizontal="right"/>
    </xf>
    <xf numFmtId="0" fontId="0" fillId="0" borderId="49" xfId="0" applyBorder="1" applyAlignment="1">
      <alignment horizontal="center" vertical="center" wrapText="1"/>
    </xf>
    <xf numFmtId="0" fontId="0" fillId="0" borderId="27" xfId="0" applyBorder="1" applyAlignment="1">
      <alignment horizontal="center" vertical="center" wrapText="1"/>
    </xf>
    <xf numFmtId="0" fontId="0" fillId="0" borderId="46" xfId="0" applyBorder="1" applyAlignment="1">
      <alignment horizontal="center" vertical="center" wrapText="1"/>
    </xf>
    <xf numFmtId="164" fontId="0" fillId="0" borderId="0" xfId="0" applyNumberFormat="1" applyAlignment="1">
      <alignment horizontal="center"/>
    </xf>
    <xf numFmtId="164" fontId="0" fillId="2" borderId="47" xfId="0" applyNumberFormat="1" applyFill="1" applyBorder="1" applyAlignment="1" applyProtection="1">
      <alignment horizontal="center"/>
      <protection locked="0"/>
    </xf>
    <xf numFmtId="164" fontId="0" fillId="2" borderId="48" xfId="0" applyNumberFormat="1" applyFill="1" applyBorder="1" applyAlignment="1" applyProtection="1">
      <alignment horizontal="center"/>
      <protection locked="0"/>
    </xf>
    <xf numFmtId="171" fontId="0" fillId="0" borderId="0" xfId="0" applyNumberFormat="1" applyAlignment="1">
      <alignment horizontal="center"/>
    </xf>
    <xf numFmtId="0" fontId="1" fillId="0" borderId="8" xfId="0" applyFont="1" applyBorder="1" applyAlignment="1">
      <alignment horizontal="left"/>
    </xf>
    <xf numFmtId="0" fontId="0" fillId="2" borderId="47" xfId="0" applyFill="1" applyBorder="1" applyAlignment="1">
      <alignment horizontal="center"/>
    </xf>
    <xf numFmtId="0" fontId="0" fillId="2" borderId="48" xfId="0" applyFill="1" applyBorder="1" applyAlignment="1">
      <alignment horizontal="center"/>
    </xf>
    <xf numFmtId="13" fontId="0" fillId="2" borderId="47" xfId="0" applyNumberFormat="1" applyFill="1" applyBorder="1" applyAlignment="1" applyProtection="1">
      <alignment horizontal="center"/>
      <protection locked="0"/>
    </xf>
    <xf numFmtId="0" fontId="0" fillId="4" borderId="52" xfId="0" applyFill="1" applyBorder="1" applyAlignment="1" applyProtection="1">
      <alignment horizontal="center"/>
      <protection locked="0"/>
    </xf>
    <xf numFmtId="0" fontId="0" fillId="4" borderId="53" xfId="0" applyFill="1" applyBorder="1"/>
    <xf numFmtId="0" fontId="14" fillId="0" borderId="0" xfId="0" applyFont="1" applyAlignment="1">
      <alignment horizontal="left" vertical="top" wrapText="1"/>
    </xf>
    <xf numFmtId="0" fontId="0" fillId="0" borderId="25" xfId="0" applyBorder="1" applyAlignment="1">
      <alignment horizontal="center"/>
    </xf>
    <xf numFmtId="0" fontId="0" fillId="0" borderId="24" xfId="0" applyBorder="1" applyAlignment="1">
      <alignment horizontal="center"/>
    </xf>
    <xf numFmtId="0" fontId="0" fillId="0" borderId="23" xfId="0" applyBorder="1" applyAlignment="1">
      <alignment horizontal="center"/>
    </xf>
    <xf numFmtId="0" fontId="23" fillId="0" borderId="0" xfId="0" applyFont="1" applyAlignment="1">
      <alignment horizontal="center" vertical="center" wrapText="1"/>
    </xf>
    <xf numFmtId="0" fontId="23" fillId="0" borderId="0" xfId="0" applyFont="1" applyAlignment="1">
      <alignment vertical="center" wrapText="1"/>
    </xf>
    <xf numFmtId="0" fontId="0" fillId="7" borderId="49" xfId="0" applyFill="1" applyBorder="1" applyAlignment="1">
      <alignment horizontal="center" vertical="center"/>
    </xf>
    <xf numFmtId="0" fontId="0" fillId="7" borderId="46" xfId="0" applyFill="1" applyBorder="1" applyAlignment="1">
      <alignment horizontal="center" vertical="center"/>
    </xf>
    <xf numFmtId="0" fontId="0" fillId="7" borderId="49" xfId="0" applyFill="1" applyBorder="1" applyAlignment="1">
      <alignment horizontal="center"/>
    </xf>
    <xf numFmtId="0" fontId="0" fillId="7" borderId="46" xfId="0" applyFill="1" applyBorder="1" applyAlignment="1">
      <alignment horizontal="center"/>
    </xf>
    <xf numFmtId="0" fontId="0" fillId="0" borderId="73" xfId="0" applyBorder="1" applyProtection="1">
      <protection locked="0"/>
    </xf>
    <xf numFmtId="0" fontId="0" fillId="0" borderId="27" xfId="0" applyBorder="1" applyAlignment="1" applyProtection="1">
      <alignment horizontal="left"/>
      <protection locked="0"/>
    </xf>
    <xf numFmtId="0" fontId="0" fillId="0" borderId="24" xfId="0" applyBorder="1" applyAlignment="1" applyProtection="1">
      <alignment horizontal="left"/>
      <protection locked="0"/>
    </xf>
    <xf numFmtId="0" fontId="1" fillId="0" borderId="0" xfId="0" applyFont="1" applyAlignment="1">
      <alignment wrapText="1"/>
    </xf>
    <xf numFmtId="0" fontId="23" fillId="0" borderId="0" xfId="0" applyFont="1" applyAlignment="1">
      <alignment horizontal="center" vertical="center"/>
    </xf>
    <xf numFmtId="0" fontId="0" fillId="0" borderId="59" xfId="0" applyBorder="1" applyAlignment="1">
      <alignment horizontal="center"/>
    </xf>
    <xf numFmtId="0" fontId="0" fillId="0" borderId="30" xfId="0" applyBorder="1" applyAlignment="1">
      <alignment horizontal="center"/>
    </xf>
    <xf numFmtId="0" fontId="0" fillId="0" borderId="0" xfId="0" applyAlignment="1">
      <alignment vertical="top" wrapText="1"/>
    </xf>
    <xf numFmtId="0" fontId="0" fillId="0" borderId="44" xfId="0" applyBorder="1" applyAlignment="1">
      <alignment horizontal="center" vertical="center" wrapText="1"/>
    </xf>
    <xf numFmtId="164" fontId="1" fillId="0" borderId="0" xfId="0" applyNumberFormat="1" applyFont="1" applyAlignment="1">
      <alignment horizontal="center" vertical="center"/>
    </xf>
    <xf numFmtId="0" fontId="1" fillId="0" borderId="0" xfId="0" applyFont="1" applyAlignment="1">
      <alignment horizontal="center" vertical="center"/>
    </xf>
    <xf numFmtId="164" fontId="1" fillId="0" borderId="0" xfId="0" applyNumberFormat="1" applyFont="1" applyAlignment="1">
      <alignment horizontal="center" wrapText="1"/>
    </xf>
    <xf numFmtId="0" fontId="12" fillId="0" borderId="0" xfId="0" applyFont="1" applyAlignment="1">
      <alignment horizontal="center" vertical="center" wrapText="1"/>
    </xf>
    <xf numFmtId="0" fontId="11" fillId="0" borderId="0" xfId="0" applyFont="1" applyAlignment="1">
      <alignment horizontal="center" vertical="center" wrapText="1"/>
    </xf>
    <xf numFmtId="0" fontId="0" fillId="2" borderId="47" xfId="0" applyFill="1" applyBorder="1" applyAlignment="1" applyProtection="1">
      <alignment horizontal="center"/>
      <protection locked="0"/>
    </xf>
    <xf numFmtId="0" fontId="0" fillId="0" borderId="48" xfId="0" applyBorder="1" applyProtection="1">
      <protection locked="0"/>
    </xf>
    <xf numFmtId="0" fontId="0" fillId="0" borderId="53" xfId="0" applyBorder="1" applyProtection="1">
      <protection locked="0"/>
    </xf>
    <xf numFmtId="171" fontId="0" fillId="2" borderId="47" xfId="0" applyNumberFormat="1" applyFill="1" applyBorder="1" applyAlignment="1" applyProtection="1">
      <alignment horizontal="center"/>
      <protection locked="0"/>
    </xf>
    <xf numFmtId="0" fontId="0" fillId="0" borderId="48" xfId="0" applyBorder="1" applyAlignment="1" applyProtection="1">
      <alignment horizontal="center"/>
      <protection locked="0"/>
    </xf>
    <xf numFmtId="0" fontId="0" fillId="7" borderId="44" xfId="0" applyFill="1" applyBorder="1" applyAlignment="1">
      <alignment horizontal="center"/>
    </xf>
    <xf numFmtId="0" fontId="1" fillId="0" borderId="0" xfId="0" applyFont="1" applyAlignment="1">
      <alignment horizontal="center" vertical="center" wrapText="1"/>
    </xf>
    <xf numFmtId="0" fontId="0" fillId="0" borderId="62" xfId="0" applyBorder="1" applyAlignment="1">
      <alignment horizontal="right"/>
    </xf>
    <xf numFmtId="164" fontId="1" fillId="0" borderId="0" xfId="0" applyNumberFormat="1" applyFont="1" applyAlignment="1">
      <alignment horizontal="center"/>
    </xf>
    <xf numFmtId="164" fontId="1" fillId="0" borderId="0" xfId="0" applyNumberFormat="1" applyFont="1" applyAlignment="1">
      <alignment horizontal="center" vertical="center" wrapText="1"/>
    </xf>
    <xf numFmtId="0" fontId="0" fillId="0" borderId="0" xfId="0" applyAlignment="1">
      <alignment horizontal="center" vertical="center" wrapText="1"/>
    </xf>
    <xf numFmtId="0" fontId="24" fillId="0" borderId="0" xfId="0" applyFont="1"/>
    <xf numFmtId="0" fontId="1" fillId="0" borderId="30" xfId="0" applyFont="1" applyBorder="1" applyAlignment="1">
      <alignment horizontal="right"/>
    </xf>
    <xf numFmtId="0" fontId="0" fillId="0" borderId="31" xfId="0" applyBorder="1" applyAlignment="1">
      <alignment horizontal="right"/>
    </xf>
    <xf numFmtId="0" fontId="6" fillId="0" borderId="0" xfId="0" applyFont="1" applyAlignment="1">
      <alignment horizontal="center" vertical="center"/>
    </xf>
    <xf numFmtId="14" fontId="0" fillId="0" borderId="5" xfId="0" applyNumberFormat="1" applyBorder="1" applyAlignment="1" applyProtection="1">
      <alignment horizontal="left"/>
      <protection locked="0"/>
    </xf>
    <xf numFmtId="0" fontId="0" fillId="10" borderId="49" xfId="0" applyFill="1" applyBorder="1" applyAlignment="1">
      <alignment horizontal="center"/>
    </xf>
    <xf numFmtId="0" fontId="0" fillId="10" borderId="46" xfId="0" applyFill="1" applyBorder="1" applyAlignment="1">
      <alignment horizontal="center"/>
    </xf>
    <xf numFmtId="0" fontId="1" fillId="0" borderId="31" xfId="0" applyFont="1" applyBorder="1" applyAlignment="1">
      <alignment horizontal="right"/>
    </xf>
    <xf numFmtId="0" fontId="0" fillId="2" borderId="47" xfId="0" applyFill="1" applyBorder="1" applyAlignment="1" applyProtection="1">
      <alignment horizontal="left"/>
      <protection locked="0"/>
    </xf>
    <xf numFmtId="0" fontId="0" fillId="2" borderId="48" xfId="0" applyFill="1" applyBorder="1" applyAlignment="1" applyProtection="1">
      <alignment horizontal="left"/>
      <protection locked="0"/>
    </xf>
    <xf numFmtId="0" fontId="0" fillId="2" borderId="48" xfId="0" applyFill="1" applyBorder="1" applyAlignment="1" applyProtection="1">
      <alignment horizontal="center"/>
      <protection locked="0"/>
    </xf>
    <xf numFmtId="0" fontId="0" fillId="4" borderId="53" xfId="0" applyFill="1" applyBorder="1" applyAlignment="1" applyProtection="1">
      <alignment horizontal="center"/>
      <protection locked="0"/>
    </xf>
    <xf numFmtId="49" fontId="0" fillId="0" borderId="27" xfId="0" applyNumberFormat="1" applyBorder="1" applyAlignment="1" applyProtection="1">
      <alignment horizontal="left"/>
      <protection locked="0"/>
    </xf>
    <xf numFmtId="0" fontId="0" fillId="0" borderId="0" xfId="0"/>
    <xf numFmtId="0" fontId="19" fillId="0" borderId="0" xfId="0" applyFont="1" applyAlignment="1">
      <alignment horizontal="left" vertical="top" wrapText="1"/>
    </xf>
  </cellXfs>
  <cellStyles count="1">
    <cellStyle name="Normal" xfId="0" builtinId="0"/>
  </cellStyles>
  <dxfs count="27">
    <dxf>
      <fill>
        <patternFill>
          <bgColor theme="6" tint="0.59996337778862885"/>
        </patternFill>
      </fill>
      <border>
        <left style="thin">
          <color theme="6" tint="-0.499984740745262"/>
        </left>
        <right style="thin">
          <color theme="6" tint="-0.499984740745262"/>
        </right>
        <top style="thin">
          <color theme="6" tint="-0.499984740745262"/>
        </top>
        <bottom style="thin">
          <color theme="6" tint="-0.499984740745262"/>
        </bottom>
        <vertical/>
        <horizontal/>
      </border>
    </dxf>
    <dxf>
      <fill>
        <patternFill>
          <bgColor theme="6" tint="0.59996337778862885"/>
        </patternFill>
      </fill>
      <border>
        <left style="thin">
          <color theme="6" tint="-0.499984740745262"/>
        </left>
        <right style="thin">
          <color theme="6" tint="-0.499984740745262"/>
        </right>
        <top style="thin">
          <color theme="6" tint="-0.499984740745262"/>
        </top>
        <bottom style="thin">
          <color theme="6" tint="-0.499984740745262"/>
        </bottom>
        <vertical/>
        <horizontal/>
      </border>
    </dxf>
    <dxf>
      <fill>
        <patternFill>
          <bgColor rgb="FFFF7C80"/>
        </patternFill>
      </fill>
      <border>
        <left style="thin">
          <color rgb="FFFF0000"/>
        </left>
        <right style="thin">
          <color rgb="FFFF0000"/>
        </right>
        <top style="thin">
          <color rgb="FFFF0000"/>
        </top>
        <bottom style="thin">
          <color rgb="FFFF0000"/>
        </bottom>
      </border>
    </dxf>
    <dxf>
      <fill>
        <patternFill>
          <bgColor theme="6" tint="0.59996337778862885"/>
        </patternFill>
      </fill>
      <border>
        <left style="thin">
          <color theme="6" tint="-0.499984740745262"/>
        </left>
        <right style="thin">
          <color theme="6" tint="-0.499984740745262"/>
        </right>
        <top style="thin">
          <color theme="6" tint="-0.499984740745262"/>
        </top>
        <bottom style="thin">
          <color theme="6" tint="-0.499984740745262"/>
        </bottom>
        <vertical/>
        <horizontal/>
      </border>
    </dxf>
    <dxf>
      <fill>
        <patternFill>
          <bgColor theme="6" tint="0.59996337778862885"/>
        </patternFill>
      </fill>
      <border>
        <left style="thin">
          <color theme="6" tint="-0.499984740745262"/>
        </left>
        <right style="thin">
          <color theme="6" tint="-0.499984740745262"/>
        </right>
        <top style="thin">
          <color theme="6" tint="-0.499984740745262"/>
        </top>
        <bottom style="thin">
          <color theme="6" tint="-0.499984740745262"/>
        </bottom>
        <vertical/>
        <horizontal/>
      </border>
    </dxf>
    <dxf>
      <fill>
        <patternFill>
          <bgColor rgb="FFFF7C80"/>
        </patternFill>
      </fill>
      <border>
        <left style="thin">
          <color rgb="FFFF0000"/>
        </left>
        <right style="thin">
          <color rgb="FFFF0000"/>
        </right>
        <top style="thin">
          <color rgb="FFFF0000"/>
        </top>
        <bottom style="thin">
          <color rgb="FFFF0000"/>
        </bottom>
      </border>
    </dxf>
    <dxf>
      <fill>
        <patternFill>
          <bgColor theme="6" tint="0.59996337778862885"/>
        </patternFill>
      </fill>
      <border>
        <left style="thin">
          <color theme="6" tint="-0.499984740745262"/>
        </left>
        <right style="thin">
          <color theme="6" tint="-0.499984740745262"/>
        </right>
        <top style="thin">
          <color theme="6" tint="-0.499984740745262"/>
        </top>
        <bottom style="thin">
          <color theme="6" tint="-0.499984740745262"/>
        </bottom>
        <vertical/>
        <horizontal/>
      </border>
    </dxf>
    <dxf>
      <fill>
        <patternFill>
          <bgColor rgb="FFFF7C80"/>
        </patternFill>
      </fill>
      <border>
        <left style="thin">
          <color rgb="FFFF0000"/>
        </left>
        <right style="thin">
          <color rgb="FFFF0000"/>
        </right>
        <top style="thin">
          <color rgb="FFFF0000"/>
        </top>
        <bottom style="thin">
          <color rgb="FFFF0000"/>
        </bottom>
      </border>
    </dxf>
    <dxf>
      <fill>
        <patternFill>
          <bgColor theme="6" tint="0.59996337778862885"/>
        </patternFill>
      </fill>
      <border>
        <left style="thin">
          <color theme="6" tint="-0.499984740745262"/>
        </left>
        <right style="thin">
          <color theme="6" tint="-0.499984740745262"/>
        </right>
        <top style="thin">
          <color theme="6" tint="-0.499984740745262"/>
        </top>
        <bottom style="thin">
          <color theme="6" tint="-0.499984740745262"/>
        </bottom>
      </border>
    </dxf>
    <dxf>
      <fill>
        <patternFill>
          <bgColor theme="6" tint="0.59996337778862885"/>
        </patternFill>
      </fill>
      <border>
        <left style="thin">
          <color theme="6" tint="-0.499984740745262"/>
        </left>
        <right style="thin">
          <color theme="6" tint="-0.499984740745262"/>
        </right>
        <top style="thin">
          <color theme="6" tint="-0.499984740745262"/>
        </top>
        <bottom style="thin">
          <color theme="6" tint="-0.499984740745262"/>
        </bottom>
        <vertical/>
        <horizontal/>
      </border>
    </dxf>
    <dxf>
      <fill>
        <patternFill>
          <bgColor rgb="FFFFFFAF"/>
        </patternFill>
      </fill>
      <border>
        <bottom style="thin">
          <color auto="1"/>
        </bottom>
        <vertical/>
        <horizontal/>
      </border>
    </dxf>
    <dxf>
      <fill>
        <patternFill>
          <bgColor theme="6" tint="0.59996337778862885"/>
        </patternFill>
      </fill>
      <border>
        <left style="thin">
          <color theme="6" tint="-0.499984740745262"/>
        </left>
        <right style="thin">
          <color theme="6" tint="-0.499984740745262"/>
        </right>
        <top style="thin">
          <color theme="6" tint="-0.499984740745262"/>
        </top>
        <bottom style="thin">
          <color theme="6" tint="-0.499984740745262"/>
        </bottom>
        <vertical/>
        <horizontal/>
      </border>
    </dxf>
    <dxf>
      <fill>
        <patternFill>
          <bgColor theme="6" tint="0.59996337778862885"/>
        </patternFill>
      </fill>
      <border>
        <left style="thin">
          <color theme="6" tint="-0.499984740745262"/>
        </left>
        <right style="thin">
          <color theme="6" tint="-0.499984740745262"/>
        </right>
        <top style="thin">
          <color theme="6" tint="-0.499984740745262"/>
        </top>
        <bottom style="thin">
          <color theme="6" tint="-0.499984740745262"/>
        </bottom>
        <vertical/>
        <horizontal/>
      </border>
    </dxf>
    <dxf>
      <fill>
        <patternFill>
          <bgColor theme="6" tint="0.59996337778862885"/>
        </patternFill>
      </fill>
      <border>
        <left style="thin">
          <color theme="6" tint="-0.499984740745262"/>
        </left>
        <right style="thin">
          <color theme="6" tint="-0.499984740745262"/>
        </right>
        <top style="thin">
          <color theme="6" tint="-0.499984740745262"/>
        </top>
        <bottom style="thin">
          <color theme="6" tint="-0.499984740745262"/>
        </bottom>
        <vertical/>
        <horizontal/>
      </border>
    </dxf>
    <dxf>
      <fill>
        <patternFill>
          <bgColor rgb="FFFF7C80"/>
        </patternFill>
      </fill>
      <border>
        <left style="thin">
          <color rgb="FFFF0000"/>
        </left>
        <right style="thin">
          <color rgb="FFFF0000"/>
        </right>
        <top style="thin">
          <color rgb="FFFF0000"/>
        </top>
        <bottom style="thin">
          <color rgb="FFFF0000"/>
        </bottom>
      </border>
    </dxf>
    <dxf>
      <fill>
        <patternFill>
          <bgColor theme="6" tint="0.59996337778862885"/>
        </patternFill>
      </fill>
      <border>
        <left style="thin">
          <color theme="6" tint="-0.499984740745262"/>
        </left>
        <right style="thin">
          <color theme="6" tint="-0.499984740745262"/>
        </right>
        <top style="thin">
          <color theme="6" tint="-0.499984740745262"/>
        </top>
        <bottom style="thin">
          <color theme="6" tint="-0.499984740745262"/>
        </bottom>
        <vertical/>
        <horizontal/>
      </border>
    </dxf>
    <dxf>
      <fill>
        <patternFill>
          <bgColor rgb="FFFF7C80"/>
        </patternFill>
      </fill>
      <border>
        <left style="thin">
          <color rgb="FFFF0000"/>
        </left>
        <right style="thin">
          <color rgb="FFFF0000"/>
        </right>
        <top style="thin">
          <color rgb="FFFF0000"/>
        </top>
        <bottom style="thin">
          <color rgb="FFFF0000"/>
        </bottom>
      </border>
    </dxf>
    <dxf>
      <fill>
        <patternFill>
          <bgColor theme="6" tint="0.59996337778862885"/>
        </patternFill>
      </fill>
      <border>
        <left style="thin">
          <color theme="6" tint="-0.499984740745262"/>
        </left>
        <right style="thin">
          <color theme="6" tint="-0.499984740745262"/>
        </right>
        <top style="thin">
          <color theme="6" tint="-0.499984740745262"/>
        </top>
        <bottom style="thin">
          <color theme="6" tint="-0.499984740745262"/>
        </bottom>
      </border>
    </dxf>
    <dxf>
      <fill>
        <patternFill>
          <bgColor theme="6" tint="0.59996337778862885"/>
        </patternFill>
      </fill>
      <border>
        <left style="thin">
          <color theme="6" tint="-0.499984740745262"/>
        </left>
        <right style="thin">
          <color theme="6" tint="-0.499984740745262"/>
        </right>
        <top style="thin">
          <color theme="6" tint="-0.499984740745262"/>
        </top>
        <bottom style="thin">
          <color theme="6" tint="-0.499984740745262"/>
        </bottom>
        <vertical/>
        <horizontal/>
      </border>
    </dxf>
    <dxf>
      <fill>
        <patternFill>
          <bgColor theme="6" tint="0.59996337778862885"/>
        </patternFill>
      </fill>
      <border>
        <left style="thin">
          <color theme="6" tint="-0.499984740745262"/>
        </left>
        <right style="thin">
          <color theme="6" tint="-0.499984740745262"/>
        </right>
        <top style="thin">
          <color theme="6" tint="-0.499984740745262"/>
        </top>
        <bottom style="thin">
          <color theme="6" tint="-0.499984740745262"/>
        </bottom>
        <vertical/>
        <horizontal/>
      </border>
    </dxf>
    <dxf>
      <fill>
        <patternFill>
          <bgColor rgb="FFFF7C80"/>
        </patternFill>
      </fill>
      <border>
        <left style="thin">
          <color rgb="FFFF0000"/>
        </left>
        <right style="thin">
          <color rgb="FFFF0000"/>
        </right>
        <top style="thin">
          <color rgb="FFFF0000"/>
        </top>
        <bottom style="thin">
          <color rgb="FFFF0000"/>
        </bottom>
      </border>
    </dxf>
    <dxf>
      <fill>
        <patternFill>
          <bgColor rgb="FFFF0000"/>
        </patternFill>
      </fill>
    </dxf>
    <dxf>
      <fill>
        <patternFill>
          <bgColor rgb="FFFFFFAF"/>
        </patternFill>
      </fill>
      <border>
        <bottom style="thin">
          <color auto="1"/>
        </bottom>
        <vertical/>
        <horizontal/>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s>
  <tableStyles count="0" defaultTableStyle="TableStyleMedium9" defaultPivotStyle="PivotStyleLight16"/>
  <colors>
    <mruColors>
      <color rgb="FF3399FF"/>
      <color rgb="FFFF7C80"/>
      <color rgb="FFFFFFAF"/>
      <color rgb="FFFF5B5B"/>
      <color rgb="FFEFA1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png"/><Relationship Id="rId1" Type="http://schemas.openxmlformats.org/officeDocument/2006/relationships/image" Target="../media/image3.jpeg"/><Relationship Id="rId6" Type="http://schemas.openxmlformats.org/officeDocument/2006/relationships/image" Target="../media/image8.png"/><Relationship Id="rId5" Type="http://schemas.openxmlformats.org/officeDocument/2006/relationships/image" Target="../media/image7.jpe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11.jpeg"/><Relationship Id="rId7" Type="http://schemas.openxmlformats.org/officeDocument/2006/relationships/image" Target="../media/image14.emf"/><Relationship Id="rId2" Type="http://schemas.openxmlformats.org/officeDocument/2006/relationships/image" Target="../media/image10.jpeg"/><Relationship Id="rId1" Type="http://schemas.openxmlformats.org/officeDocument/2006/relationships/image" Target="../media/image9.png"/><Relationship Id="rId6" Type="http://schemas.openxmlformats.org/officeDocument/2006/relationships/image" Target="../media/image8.png"/><Relationship Id="rId5" Type="http://schemas.openxmlformats.org/officeDocument/2006/relationships/image" Target="../media/image13.jpeg"/><Relationship Id="rId4" Type="http://schemas.openxmlformats.org/officeDocument/2006/relationships/image" Target="../media/image12.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18.emf"/><Relationship Id="rId2" Type="http://schemas.openxmlformats.org/officeDocument/2006/relationships/image" Target="../media/image17.jpeg"/><Relationship Id="rId1" Type="http://schemas.openxmlformats.org/officeDocument/2006/relationships/image" Target="../media/image16.jpeg"/><Relationship Id="rId6" Type="http://schemas.openxmlformats.org/officeDocument/2006/relationships/image" Target="../media/image8.png"/><Relationship Id="rId5" Type="http://schemas.openxmlformats.org/officeDocument/2006/relationships/image" Target="../media/image13.jpeg"/><Relationship Id="rId4"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image" Target="../media/image21.png"/><Relationship Id="rId7" Type="http://schemas.openxmlformats.org/officeDocument/2006/relationships/image" Target="../media/image24.emf"/><Relationship Id="rId2" Type="http://schemas.openxmlformats.org/officeDocument/2006/relationships/image" Target="../media/image20.jpeg"/><Relationship Id="rId1" Type="http://schemas.openxmlformats.org/officeDocument/2006/relationships/image" Target="../media/image13.jpeg"/><Relationship Id="rId6" Type="http://schemas.openxmlformats.org/officeDocument/2006/relationships/image" Target="../media/image8.png"/><Relationship Id="rId5" Type="http://schemas.openxmlformats.org/officeDocument/2006/relationships/image" Target="../media/image23.jpeg"/><Relationship Id="rId4" Type="http://schemas.openxmlformats.org/officeDocument/2006/relationships/image" Target="../media/image22.png"/></Relationships>
</file>

<file path=xl/drawings/_rels/drawing6.xml.rels><?xml version="1.0" encoding="UTF-8" standalone="yes"?>
<Relationships xmlns="http://schemas.openxmlformats.org/package/2006/relationships"><Relationship Id="rId3" Type="http://schemas.openxmlformats.org/officeDocument/2006/relationships/image" Target="../media/image28.jpg"/><Relationship Id="rId7" Type="http://schemas.openxmlformats.org/officeDocument/2006/relationships/image" Target="../media/image32.jpeg"/><Relationship Id="rId2" Type="http://schemas.openxmlformats.org/officeDocument/2006/relationships/image" Target="../media/image27.jpg"/><Relationship Id="rId1" Type="http://schemas.openxmlformats.org/officeDocument/2006/relationships/image" Target="../media/image26.png"/><Relationship Id="rId6" Type="http://schemas.openxmlformats.org/officeDocument/2006/relationships/image" Target="../media/image31.jpeg"/><Relationship Id="rId5" Type="http://schemas.openxmlformats.org/officeDocument/2006/relationships/image" Target="../media/image30.png"/><Relationship Id="rId4" Type="http://schemas.openxmlformats.org/officeDocument/2006/relationships/image" Target="../media/image29.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5.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9.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207856</xdr:colOff>
          <xdr:row>0</xdr:row>
          <xdr:rowOff>173990</xdr:rowOff>
        </xdr:from>
        <xdr:to>
          <xdr:col>3</xdr:col>
          <xdr:colOff>952</xdr:colOff>
          <xdr:row>1</xdr:row>
          <xdr:rowOff>1411113</xdr:rowOff>
        </xdr:to>
        <xdr:pic>
          <xdr:nvPicPr>
            <xdr:cNvPr id="3" name="Picture 2">
              <a:extLst>
                <a:ext uri="{FF2B5EF4-FFF2-40B4-BE49-F238E27FC236}">
                  <a16:creationId xmlns:a16="http://schemas.microsoft.com/office/drawing/2014/main" id="{D1CC5940-7AE1-4955-9FD1-8ACAB65624D3}"/>
                </a:ext>
              </a:extLst>
            </xdr:cNvPr>
            <xdr:cNvPicPr>
              <a:picLocks noChangeAspect="1"/>
              <a:extLst>
                <a:ext uri="{84589F7E-364E-4C9E-8A38-B11213B215E9}">
                  <a14:cameraTool cellRange="Picture" spid="_x0000_s63784"/>
                </a:ext>
              </a:extLst>
            </xdr:cNvPicPr>
          </xdr:nvPicPr>
          <xdr:blipFill>
            <a:blip xmlns:r="http://schemas.openxmlformats.org/officeDocument/2006/relationships" r:embed="rId1"/>
            <a:stretch>
              <a:fillRect/>
            </a:stretch>
          </xdr:blipFill>
          <xdr:spPr>
            <a:xfrm>
              <a:off x="415712" y="173990"/>
              <a:ext cx="21969942" cy="1418098"/>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0</xdr:row>
          <xdr:rowOff>171450</xdr:rowOff>
        </xdr:from>
        <xdr:to>
          <xdr:col>3</xdr:col>
          <xdr:colOff>0</xdr:colOff>
          <xdr:row>1</xdr:row>
          <xdr:rowOff>1409700</xdr:rowOff>
        </xdr:to>
        <xdr:pic>
          <xdr:nvPicPr>
            <xdr:cNvPr id="45397" name="Picture 2">
              <a:extLst>
                <a:ext uri="{FF2B5EF4-FFF2-40B4-BE49-F238E27FC236}">
                  <a16:creationId xmlns:a16="http://schemas.microsoft.com/office/drawing/2014/main" id="{677F87E7-2D12-44B0-B8CB-BD815B98F770}"/>
                </a:ext>
              </a:extLst>
            </xdr:cNvPr>
            <xdr:cNvPicPr>
              <a:picLocks noChangeAspect="1" noChangeArrowheads="1"/>
              <a:extLst>
                <a:ext uri="{84589F7E-364E-4C9E-8A38-B11213B215E9}">
                  <a14:cameraTool cellRange="Picture" spid="_x0000_s63785"/>
                </a:ext>
              </a:extLst>
            </xdr:cNvPicPr>
          </xdr:nvPicPr>
          <xdr:blipFill>
            <a:blip xmlns:r="http://schemas.openxmlformats.org/officeDocument/2006/relationships" r:embed="rId1"/>
            <a:srcRect/>
            <a:stretch>
              <a:fillRect/>
            </a:stretch>
          </xdr:blipFill>
          <xdr:spPr bwMode="auto">
            <a:xfrm>
              <a:off x="209550" y="171450"/>
              <a:ext cx="11004550" cy="14224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0</xdr:row>
          <xdr:rowOff>171450</xdr:rowOff>
        </xdr:from>
        <xdr:to>
          <xdr:col>3</xdr:col>
          <xdr:colOff>0</xdr:colOff>
          <xdr:row>1</xdr:row>
          <xdr:rowOff>1409700</xdr:rowOff>
        </xdr:to>
        <xdr:pic>
          <xdr:nvPicPr>
            <xdr:cNvPr id="46033" name="Picture 2">
              <a:extLst>
                <a:ext uri="{FF2B5EF4-FFF2-40B4-BE49-F238E27FC236}">
                  <a16:creationId xmlns:a16="http://schemas.microsoft.com/office/drawing/2014/main" id="{6C8B9FDF-02E1-7E32-BD1C-A3B5665CD6B7}"/>
                </a:ext>
              </a:extLst>
            </xdr:cNvPr>
            <xdr:cNvPicPr>
              <a:picLocks noChangeAspect="1" noChangeArrowheads="1"/>
              <a:extLst>
                <a:ext uri="{84589F7E-364E-4C9E-8A38-B11213B215E9}">
                  <a14:cameraTool cellRange="Picture" spid="_x0000_s63786"/>
                </a:ext>
              </a:extLst>
            </xdr:cNvPicPr>
          </xdr:nvPicPr>
          <xdr:blipFill>
            <a:blip xmlns:r="http://schemas.openxmlformats.org/officeDocument/2006/relationships" r:embed="rId1"/>
            <a:srcRect/>
            <a:stretch>
              <a:fillRect/>
            </a:stretch>
          </xdr:blipFill>
          <xdr:spPr bwMode="auto">
            <a:xfrm>
              <a:off x="209550" y="171450"/>
              <a:ext cx="11004550" cy="14224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0</xdr:row>
          <xdr:rowOff>171450</xdr:rowOff>
        </xdr:from>
        <xdr:to>
          <xdr:col>3</xdr:col>
          <xdr:colOff>0</xdr:colOff>
          <xdr:row>1</xdr:row>
          <xdr:rowOff>1409700</xdr:rowOff>
        </xdr:to>
        <xdr:pic>
          <xdr:nvPicPr>
            <xdr:cNvPr id="46034" name="Picture 3026">
              <a:extLst>
                <a:ext uri="{FF2B5EF4-FFF2-40B4-BE49-F238E27FC236}">
                  <a16:creationId xmlns:a16="http://schemas.microsoft.com/office/drawing/2014/main" id="{B74BEAB7-4DA2-32F4-8476-9189A33B6811}"/>
                </a:ext>
              </a:extLst>
            </xdr:cNvPr>
            <xdr:cNvPicPr>
              <a:picLocks noChangeAspect="1" noChangeArrowheads="1"/>
              <a:extLst>
                <a:ext uri="{84589F7E-364E-4C9E-8A38-B11213B215E9}">
                  <a14:cameraTool cellRange="Picture" spid="_x0000_s63787"/>
                </a:ext>
              </a:extLst>
            </xdr:cNvPicPr>
          </xdr:nvPicPr>
          <xdr:blipFill>
            <a:blip xmlns:r="http://schemas.openxmlformats.org/officeDocument/2006/relationships" r:embed="rId1"/>
            <a:srcRect/>
            <a:stretch>
              <a:fillRect/>
            </a:stretch>
          </xdr:blipFill>
          <xdr:spPr bwMode="auto">
            <a:xfrm>
              <a:off x="209550" y="171450"/>
              <a:ext cx="11004550" cy="14224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0</xdr:row>
          <xdr:rowOff>171450</xdr:rowOff>
        </xdr:from>
        <xdr:to>
          <xdr:col>3</xdr:col>
          <xdr:colOff>0</xdr:colOff>
          <xdr:row>1</xdr:row>
          <xdr:rowOff>1409700</xdr:rowOff>
        </xdr:to>
        <xdr:pic>
          <xdr:nvPicPr>
            <xdr:cNvPr id="52881" name="Picture 2">
              <a:extLst>
                <a:ext uri="{FF2B5EF4-FFF2-40B4-BE49-F238E27FC236}">
                  <a16:creationId xmlns:a16="http://schemas.microsoft.com/office/drawing/2014/main" id="{4E92EFAC-7979-C30D-41A5-201F1F5F5D78}"/>
                </a:ext>
              </a:extLst>
            </xdr:cNvPr>
            <xdr:cNvPicPr>
              <a:picLocks noChangeAspect="1" noChangeArrowheads="1"/>
              <a:extLst>
                <a:ext uri="{84589F7E-364E-4C9E-8A38-B11213B215E9}">
                  <a14:cameraTool cellRange="Picture" spid="_x0000_s63788"/>
                </a:ext>
              </a:extLst>
            </xdr:cNvPicPr>
          </xdr:nvPicPr>
          <xdr:blipFill>
            <a:blip xmlns:r="http://schemas.openxmlformats.org/officeDocument/2006/relationships" r:embed="rId1"/>
            <a:srcRect/>
            <a:stretch>
              <a:fillRect/>
            </a:stretch>
          </xdr:blipFill>
          <xdr:spPr bwMode="auto">
            <a:xfrm>
              <a:off x="209550" y="171450"/>
              <a:ext cx="11017250" cy="14224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0</xdr:row>
          <xdr:rowOff>171450</xdr:rowOff>
        </xdr:from>
        <xdr:to>
          <xdr:col>3</xdr:col>
          <xdr:colOff>0</xdr:colOff>
          <xdr:row>1</xdr:row>
          <xdr:rowOff>1409700</xdr:rowOff>
        </xdr:to>
        <xdr:pic>
          <xdr:nvPicPr>
            <xdr:cNvPr id="52882" name="Picture 3730">
              <a:extLst>
                <a:ext uri="{FF2B5EF4-FFF2-40B4-BE49-F238E27FC236}">
                  <a16:creationId xmlns:a16="http://schemas.microsoft.com/office/drawing/2014/main" id="{00F081B4-97AE-636F-80DE-A784DAEAA032}"/>
                </a:ext>
              </a:extLst>
            </xdr:cNvPr>
            <xdr:cNvPicPr>
              <a:picLocks noChangeAspect="1" noChangeArrowheads="1"/>
              <a:extLst>
                <a:ext uri="{84589F7E-364E-4C9E-8A38-B11213B215E9}">
                  <a14:cameraTool cellRange="Picture" spid="_x0000_s63789"/>
                </a:ext>
              </a:extLst>
            </xdr:cNvPicPr>
          </xdr:nvPicPr>
          <xdr:blipFill>
            <a:blip xmlns:r="http://schemas.openxmlformats.org/officeDocument/2006/relationships" r:embed="rId1"/>
            <a:srcRect/>
            <a:stretch>
              <a:fillRect/>
            </a:stretch>
          </xdr:blipFill>
          <xdr:spPr bwMode="auto">
            <a:xfrm>
              <a:off x="209550" y="171450"/>
              <a:ext cx="11017250" cy="14224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0</xdr:row>
          <xdr:rowOff>171450</xdr:rowOff>
        </xdr:from>
        <xdr:to>
          <xdr:col>3</xdr:col>
          <xdr:colOff>0</xdr:colOff>
          <xdr:row>1</xdr:row>
          <xdr:rowOff>1409700</xdr:rowOff>
        </xdr:to>
        <xdr:pic>
          <xdr:nvPicPr>
            <xdr:cNvPr id="52883" name="Picture 3731">
              <a:extLst>
                <a:ext uri="{FF2B5EF4-FFF2-40B4-BE49-F238E27FC236}">
                  <a16:creationId xmlns:a16="http://schemas.microsoft.com/office/drawing/2014/main" id="{BBF65317-3B0E-C7FF-1417-185E3914B543}"/>
                </a:ext>
              </a:extLst>
            </xdr:cNvPr>
            <xdr:cNvPicPr>
              <a:picLocks noChangeAspect="1" noChangeArrowheads="1"/>
              <a:extLst>
                <a:ext uri="{84589F7E-364E-4C9E-8A38-B11213B215E9}">
                  <a14:cameraTool cellRange="Picture" spid="_x0000_s63790"/>
                </a:ext>
              </a:extLst>
            </xdr:cNvPicPr>
          </xdr:nvPicPr>
          <xdr:blipFill>
            <a:blip xmlns:r="http://schemas.openxmlformats.org/officeDocument/2006/relationships" r:embed="rId1"/>
            <a:srcRect/>
            <a:stretch>
              <a:fillRect/>
            </a:stretch>
          </xdr:blipFill>
          <xdr:spPr bwMode="auto">
            <a:xfrm>
              <a:off x="209550" y="171450"/>
              <a:ext cx="11017250" cy="14224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0</xdr:row>
          <xdr:rowOff>171450</xdr:rowOff>
        </xdr:from>
        <xdr:to>
          <xdr:col>3</xdr:col>
          <xdr:colOff>0</xdr:colOff>
          <xdr:row>1</xdr:row>
          <xdr:rowOff>1409700</xdr:rowOff>
        </xdr:to>
        <xdr:pic>
          <xdr:nvPicPr>
            <xdr:cNvPr id="52884" name="Picture 3026">
              <a:extLst>
                <a:ext uri="{FF2B5EF4-FFF2-40B4-BE49-F238E27FC236}">
                  <a16:creationId xmlns:a16="http://schemas.microsoft.com/office/drawing/2014/main" id="{26715384-650E-BD3D-E53D-33A536CC95A0}"/>
                </a:ext>
              </a:extLst>
            </xdr:cNvPr>
            <xdr:cNvPicPr>
              <a:picLocks noChangeAspect="1" noChangeArrowheads="1"/>
              <a:extLst>
                <a:ext uri="{84589F7E-364E-4C9E-8A38-B11213B215E9}">
                  <a14:cameraTool cellRange="Picture" spid="_x0000_s63791"/>
                </a:ext>
              </a:extLst>
            </xdr:cNvPicPr>
          </xdr:nvPicPr>
          <xdr:blipFill>
            <a:blip xmlns:r="http://schemas.openxmlformats.org/officeDocument/2006/relationships" r:embed="rId1"/>
            <a:srcRect/>
            <a:stretch>
              <a:fillRect/>
            </a:stretch>
          </xdr:blipFill>
          <xdr:spPr bwMode="auto">
            <a:xfrm>
              <a:off x="209550" y="171450"/>
              <a:ext cx="11017250" cy="14224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7621</xdr:colOff>
      <xdr:row>129</xdr:row>
      <xdr:rowOff>68581</xdr:rowOff>
    </xdr:from>
    <xdr:to>
      <xdr:col>6</xdr:col>
      <xdr:colOff>127116</xdr:colOff>
      <xdr:row>131</xdr:row>
      <xdr:rowOff>173876</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1571" y="25538431"/>
          <a:ext cx="3243695" cy="486295"/>
        </a:xfrm>
        <a:prstGeom prst="rect">
          <a:avLst/>
        </a:prstGeom>
      </xdr:spPr>
    </xdr:pic>
    <xdr:clientData/>
  </xdr:twoCellAnchor>
  <xdr:twoCellAnchor editAs="oneCell">
    <xdr:from>
      <xdr:col>3</xdr:col>
      <xdr:colOff>657226</xdr:colOff>
      <xdr:row>8</xdr:row>
      <xdr:rowOff>152400</xdr:rowOff>
    </xdr:from>
    <xdr:to>
      <xdr:col>11</xdr:col>
      <xdr:colOff>558641</xdr:colOff>
      <xdr:row>22</xdr:row>
      <xdr:rowOff>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2562226" y="2905125"/>
          <a:ext cx="6283165" cy="2514600"/>
        </a:xfrm>
        <a:prstGeom prst="rect">
          <a:avLst/>
        </a:prstGeom>
      </xdr:spPr>
    </xdr:pic>
    <xdr:clientData/>
  </xdr:twoCellAnchor>
  <xdr:twoCellAnchor editAs="oneCell">
    <xdr:from>
      <xdr:col>1</xdr:col>
      <xdr:colOff>0</xdr:colOff>
      <xdr:row>1</xdr:row>
      <xdr:rowOff>0</xdr:rowOff>
    </xdr:from>
    <xdr:to>
      <xdr:col>13</xdr:col>
      <xdr:colOff>21901</xdr:colOff>
      <xdr:row>1</xdr:row>
      <xdr:rowOff>1295400</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9550" y="190500"/>
          <a:ext cx="10566076" cy="1295400"/>
        </a:xfrm>
        <a:prstGeom prst="rect">
          <a:avLst/>
        </a:prstGeom>
      </xdr:spPr>
    </xdr:pic>
    <xdr:clientData/>
  </xdr:twoCellAnchor>
  <xdr:twoCellAnchor editAs="oneCell">
    <xdr:from>
      <xdr:col>3</xdr:col>
      <xdr:colOff>676275</xdr:colOff>
      <xdr:row>52</xdr:row>
      <xdr:rowOff>0</xdr:rowOff>
    </xdr:from>
    <xdr:to>
      <xdr:col>11</xdr:col>
      <xdr:colOff>84476</xdr:colOff>
      <xdr:row>64</xdr:row>
      <xdr:rowOff>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a:stretch>
          <a:fillRect/>
        </a:stretch>
      </xdr:blipFill>
      <xdr:spPr>
        <a:xfrm>
          <a:off x="2581275" y="10944225"/>
          <a:ext cx="5789951" cy="2286000"/>
        </a:xfrm>
        <a:prstGeom prst="rect">
          <a:avLst/>
        </a:prstGeom>
      </xdr:spPr>
    </xdr:pic>
    <xdr:clientData/>
  </xdr:twoCellAnchor>
  <xdr:twoCellAnchor>
    <xdr:from>
      <xdr:col>2</xdr:col>
      <xdr:colOff>25400</xdr:colOff>
      <xdr:row>91</xdr:row>
      <xdr:rowOff>101600</xdr:rowOff>
    </xdr:from>
    <xdr:to>
      <xdr:col>7</xdr:col>
      <xdr:colOff>44449</xdr:colOff>
      <xdr:row>93</xdr:row>
      <xdr:rowOff>101600</xdr:rowOff>
    </xdr:to>
    <xdr:grpSp>
      <xdr:nvGrpSpPr>
        <xdr:cNvPr id="9" name="Group 8">
          <a:extLst>
            <a:ext uri="{FF2B5EF4-FFF2-40B4-BE49-F238E27FC236}">
              <a16:creationId xmlns:a16="http://schemas.microsoft.com/office/drawing/2014/main" id="{663D6ECC-EE6D-4D74-9DB2-382A39AAA641}"/>
            </a:ext>
          </a:extLst>
        </xdr:cNvPr>
        <xdr:cNvGrpSpPr/>
      </xdr:nvGrpSpPr>
      <xdr:grpSpPr>
        <a:xfrm>
          <a:off x="1139825" y="18884900"/>
          <a:ext cx="3876674" cy="381000"/>
          <a:chOff x="0" y="0"/>
          <a:chExt cx="6359525" cy="609600"/>
        </a:xfrm>
      </xdr:grpSpPr>
      <xdr:pic>
        <xdr:nvPicPr>
          <xdr:cNvPr id="10" name="Picture 9">
            <a:extLst>
              <a:ext uri="{FF2B5EF4-FFF2-40B4-BE49-F238E27FC236}">
                <a16:creationId xmlns:a16="http://schemas.microsoft.com/office/drawing/2014/main" id="{7D254752-7993-44DC-BCB2-0DBAE938389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6359525" cy="609600"/>
          </a:xfrm>
          <a:prstGeom prst="rect">
            <a:avLst/>
          </a:prstGeom>
        </xdr:spPr>
      </xdr:pic>
      <xdr:pic>
        <xdr:nvPicPr>
          <xdr:cNvPr id="11" name="Picture 10">
            <a:extLst>
              <a:ext uri="{FF2B5EF4-FFF2-40B4-BE49-F238E27FC236}">
                <a16:creationId xmlns:a16="http://schemas.microsoft.com/office/drawing/2014/main" id="{4937E0B5-9BB0-4FA7-AFCC-E367DEAF6DD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5257" r="3038"/>
          <a:stretch/>
        </xdr:blipFill>
        <xdr:spPr bwMode="auto">
          <a:xfrm>
            <a:off x="1930400" y="120650"/>
            <a:ext cx="996950" cy="488950"/>
          </a:xfrm>
          <a:prstGeom prst="rect">
            <a:avLst/>
          </a:prstGeom>
          <a:ln>
            <a:noFill/>
          </a:ln>
          <a:extLst>
            <a:ext uri="{53640926-AAD7-44D8-BBD7-CCE9431645EC}">
              <a14:shadowObscured xmlns:a14="http://schemas.microsoft.com/office/drawing/2010/main"/>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9525</xdr:colOff>
      <xdr:row>8</xdr:row>
      <xdr:rowOff>152400</xdr:rowOff>
    </xdr:from>
    <xdr:to>
      <xdr:col>10</xdr:col>
      <xdr:colOff>258181</xdr:colOff>
      <xdr:row>22</xdr:row>
      <xdr:rowOff>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3476625" y="2905125"/>
          <a:ext cx="4155811" cy="2514600"/>
        </a:xfrm>
        <a:prstGeom prst="rect">
          <a:avLst/>
        </a:prstGeom>
      </xdr:spPr>
    </xdr:pic>
    <xdr:clientData/>
  </xdr:twoCellAnchor>
  <xdr:twoCellAnchor editAs="oneCell">
    <xdr:from>
      <xdr:col>2</xdr:col>
      <xdr:colOff>15247</xdr:colOff>
      <xdr:row>90</xdr:row>
      <xdr:rowOff>68587</xdr:rowOff>
    </xdr:from>
    <xdr:to>
      <xdr:col>7</xdr:col>
      <xdr:colOff>12996</xdr:colOff>
      <xdr:row>92</xdr:row>
      <xdr:rowOff>96296</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65867" y="14066527"/>
          <a:ext cx="3996344" cy="389659"/>
        </a:xfrm>
        <a:prstGeom prst="rect">
          <a:avLst/>
        </a:prstGeom>
      </xdr:spPr>
    </xdr:pic>
    <xdr:clientData/>
  </xdr:twoCellAnchor>
  <xdr:twoCellAnchor editAs="oneCell">
    <xdr:from>
      <xdr:col>2</xdr:col>
      <xdr:colOff>15241</xdr:colOff>
      <xdr:row>138</xdr:row>
      <xdr:rowOff>38101</xdr:rowOff>
    </xdr:from>
    <xdr:to>
      <xdr:col>6</xdr:col>
      <xdr:colOff>130926</xdr:colOff>
      <xdr:row>140</xdr:row>
      <xdr:rowOff>160541</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65861" y="20193001"/>
          <a:ext cx="3319895" cy="486295"/>
        </a:xfrm>
        <a:prstGeom prst="rect">
          <a:avLst/>
        </a:prstGeom>
      </xdr:spPr>
    </xdr:pic>
    <xdr:clientData/>
  </xdr:twoCellAnchor>
  <xdr:twoCellAnchor editAs="oneCell">
    <xdr:from>
      <xdr:col>5</xdr:col>
      <xdr:colOff>14982</xdr:colOff>
      <xdr:row>49</xdr:row>
      <xdr:rowOff>187324</xdr:rowOff>
    </xdr:from>
    <xdr:to>
      <xdr:col>9</xdr:col>
      <xdr:colOff>245305</xdr:colOff>
      <xdr:row>62</xdr:row>
      <xdr:rowOff>3174</xdr:rowOff>
    </xdr:to>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4"/>
        <a:stretch>
          <a:fillRect/>
        </a:stretch>
      </xdr:blipFill>
      <xdr:spPr>
        <a:xfrm>
          <a:off x="3482082" y="9988549"/>
          <a:ext cx="3350713" cy="2286000"/>
        </a:xfrm>
        <a:prstGeom prst="rect">
          <a:avLst/>
        </a:prstGeom>
      </xdr:spPr>
    </xdr:pic>
    <xdr:clientData/>
  </xdr:twoCellAnchor>
  <xdr:twoCellAnchor>
    <xdr:from>
      <xdr:col>2</xdr:col>
      <xdr:colOff>19051</xdr:colOff>
      <xdr:row>90</xdr:row>
      <xdr:rowOff>76200</xdr:rowOff>
    </xdr:from>
    <xdr:to>
      <xdr:col>7</xdr:col>
      <xdr:colOff>38100</xdr:colOff>
      <xdr:row>92</xdr:row>
      <xdr:rowOff>88900</xdr:rowOff>
    </xdr:to>
    <xdr:grpSp>
      <xdr:nvGrpSpPr>
        <xdr:cNvPr id="13" name="Group 12">
          <a:extLst>
            <a:ext uri="{FF2B5EF4-FFF2-40B4-BE49-F238E27FC236}">
              <a16:creationId xmlns:a16="http://schemas.microsoft.com/office/drawing/2014/main" id="{00000000-0008-0000-0200-00000D000000}"/>
            </a:ext>
          </a:extLst>
        </xdr:cNvPr>
        <xdr:cNvGrpSpPr/>
      </xdr:nvGrpSpPr>
      <xdr:grpSpPr>
        <a:xfrm>
          <a:off x="1133476" y="18888075"/>
          <a:ext cx="3876674" cy="393700"/>
          <a:chOff x="0" y="0"/>
          <a:chExt cx="6359525" cy="609600"/>
        </a:xfrm>
      </xdr:grpSpPr>
      <xdr:pic>
        <xdr:nvPicPr>
          <xdr:cNvPr id="14" name="Picture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6359525" cy="609600"/>
          </a:xfrm>
          <a:prstGeom prst="rect">
            <a:avLst/>
          </a:prstGeom>
        </xdr:spPr>
      </xdr:pic>
      <xdr:pic>
        <xdr:nvPicPr>
          <xdr:cNvPr id="15" name="Picture 14">
            <a:extLst>
              <a:ext uri="{FF2B5EF4-FFF2-40B4-BE49-F238E27FC236}">
                <a16:creationId xmlns:a16="http://schemas.microsoft.com/office/drawing/2014/main" id="{00000000-0008-0000-0200-00000F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5257" r="3038"/>
          <a:stretch/>
        </xdr:blipFill>
        <xdr:spPr bwMode="auto">
          <a:xfrm>
            <a:off x="1930400" y="120650"/>
            <a:ext cx="996950" cy="488950"/>
          </a:xfrm>
          <a:prstGeom prst="rect">
            <a:avLst/>
          </a:prstGeom>
          <a:ln>
            <a:noFill/>
          </a:ln>
          <a:extLst>
            <a:ext uri="{53640926-AAD7-44D8-BBD7-CCE9431645EC}">
              <a14:shadowObscured xmlns:a14="http://schemas.microsoft.com/office/drawing/2010/main"/>
            </a:ext>
          </a:extLst>
        </xdr:spPr>
      </xdr:pic>
    </xdr:grpSp>
    <xdr:clientData/>
  </xdr:twoCellAnchor>
  <mc:AlternateContent xmlns:mc="http://schemas.openxmlformats.org/markup-compatibility/2006">
    <mc:Choice xmlns:a14="http://schemas.microsoft.com/office/drawing/2010/main" Requires="a14">
      <xdr:twoCellAnchor editAs="oneCell">
        <xdr:from>
          <xdr:col>0</xdr:col>
          <xdr:colOff>222249</xdr:colOff>
          <xdr:row>0</xdr:row>
          <xdr:rowOff>146050</xdr:rowOff>
        </xdr:from>
        <xdr:to>
          <xdr:col>13</xdr:col>
          <xdr:colOff>21590</xdr:colOff>
          <xdr:row>1</xdr:row>
          <xdr:rowOff>1362447</xdr:rowOff>
        </xdr:to>
        <xdr:pic>
          <xdr:nvPicPr>
            <xdr:cNvPr id="5" name="Picture 4">
              <a:extLst>
                <a:ext uri="{FF2B5EF4-FFF2-40B4-BE49-F238E27FC236}">
                  <a16:creationId xmlns:a16="http://schemas.microsoft.com/office/drawing/2014/main" id="{5A4839D8-2F92-4A5E-B812-74727090E5D6}"/>
                </a:ext>
              </a:extLst>
            </xdr:cNvPr>
            <xdr:cNvPicPr>
              <a:picLocks noChangeAspect="1"/>
              <a:extLst>
                <a:ext uri="{84589F7E-364E-4C9E-8A38-B11213B215E9}">
                  <a14:cameraTool cellRange="Picture1" spid="_x0000_s53708"/>
                </a:ext>
              </a:extLst>
            </xdr:cNvPicPr>
          </xdr:nvPicPr>
          <xdr:blipFill>
            <a:blip xmlns:r="http://schemas.openxmlformats.org/officeDocument/2006/relationships" r:embed="rId7"/>
            <a:stretch>
              <a:fillRect/>
            </a:stretch>
          </xdr:blipFill>
          <xdr:spPr>
            <a:xfrm>
              <a:off x="222249" y="146050"/>
              <a:ext cx="11084984" cy="1401746"/>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222250</xdr:colOff>
          <xdr:row>0</xdr:row>
          <xdr:rowOff>146050</xdr:rowOff>
        </xdr:from>
        <xdr:to>
          <xdr:col>13</xdr:col>
          <xdr:colOff>21590</xdr:colOff>
          <xdr:row>1</xdr:row>
          <xdr:rowOff>1363345</xdr:rowOff>
        </xdr:to>
        <xdr:pic>
          <xdr:nvPicPr>
            <xdr:cNvPr id="43513" name="Picture 4">
              <a:extLst>
                <a:ext uri="{FF2B5EF4-FFF2-40B4-BE49-F238E27FC236}">
                  <a16:creationId xmlns:a16="http://schemas.microsoft.com/office/drawing/2014/main" id="{F2FB22FB-22F6-49EB-943E-62873C034F48}"/>
                </a:ext>
              </a:extLst>
            </xdr:cNvPr>
            <xdr:cNvPicPr>
              <a:picLocks noChangeAspect="1" noChangeArrowheads="1"/>
              <a:extLst>
                <a:ext uri="{84589F7E-364E-4C9E-8A38-B11213B215E9}">
                  <a14:cameraTool cellRange="Picture1" spid="_x0000_s53709"/>
                </a:ext>
              </a:extLst>
            </xdr:cNvPicPr>
          </xdr:nvPicPr>
          <xdr:blipFill>
            <a:blip xmlns:r="http://schemas.openxmlformats.org/officeDocument/2006/relationships" r:embed="rId7"/>
            <a:srcRect/>
            <a:stretch>
              <a:fillRect/>
            </a:stretch>
          </xdr:blipFill>
          <xdr:spPr bwMode="auto">
            <a:xfrm>
              <a:off x="215900" y="146050"/>
              <a:ext cx="11017250" cy="1403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0</xdr:row>
          <xdr:rowOff>175260</xdr:rowOff>
        </xdr:from>
        <xdr:to>
          <xdr:col>13</xdr:col>
          <xdr:colOff>28575</xdr:colOff>
          <xdr:row>2</xdr:row>
          <xdr:rowOff>0</xdr:rowOff>
        </xdr:to>
        <xdr:pic>
          <xdr:nvPicPr>
            <xdr:cNvPr id="53556" name="Picture 4">
              <a:extLst>
                <a:ext uri="{FF2B5EF4-FFF2-40B4-BE49-F238E27FC236}">
                  <a16:creationId xmlns:a16="http://schemas.microsoft.com/office/drawing/2014/main" id="{338051C3-54B8-136D-F1CF-66ABB514FA3C}"/>
                </a:ext>
              </a:extLst>
            </xdr:cNvPr>
            <xdr:cNvPicPr>
              <a:picLocks noChangeAspect="1" noChangeArrowheads="1"/>
              <a:extLst>
                <a:ext uri="{84589F7E-364E-4C9E-8A38-B11213B215E9}">
                  <a14:cameraTool cellRange="Picture1" spid="_x0000_s53710"/>
                </a:ext>
              </a:extLst>
            </xdr:cNvPicPr>
          </xdr:nvPicPr>
          <xdr:blipFill>
            <a:blip xmlns:r="http://schemas.openxmlformats.org/officeDocument/2006/relationships" r:embed="rId7"/>
            <a:srcRect/>
            <a:stretch>
              <a:fillRect/>
            </a:stretch>
          </xdr:blipFill>
          <xdr:spPr bwMode="auto">
            <a:xfrm>
              <a:off x="213360" y="175260"/>
              <a:ext cx="10767060" cy="14249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0</xdr:row>
          <xdr:rowOff>175260</xdr:rowOff>
        </xdr:from>
        <xdr:to>
          <xdr:col>13</xdr:col>
          <xdr:colOff>28575</xdr:colOff>
          <xdr:row>2</xdr:row>
          <xdr:rowOff>0</xdr:rowOff>
        </xdr:to>
        <xdr:pic>
          <xdr:nvPicPr>
            <xdr:cNvPr id="53557" name="Picture 3381">
              <a:extLst>
                <a:ext uri="{FF2B5EF4-FFF2-40B4-BE49-F238E27FC236}">
                  <a16:creationId xmlns:a16="http://schemas.microsoft.com/office/drawing/2014/main" id="{C3782A00-C929-19DB-4D31-F4FB45885DC4}"/>
                </a:ext>
              </a:extLst>
            </xdr:cNvPr>
            <xdr:cNvPicPr>
              <a:picLocks noChangeAspect="1" noChangeArrowheads="1"/>
              <a:extLst>
                <a:ext uri="{84589F7E-364E-4C9E-8A38-B11213B215E9}">
                  <a14:cameraTool cellRange="Picture1" spid="_x0000_s53711"/>
                </a:ext>
              </a:extLst>
            </xdr:cNvPicPr>
          </xdr:nvPicPr>
          <xdr:blipFill>
            <a:blip xmlns:r="http://schemas.openxmlformats.org/officeDocument/2006/relationships" r:embed="rId7"/>
            <a:srcRect/>
            <a:stretch>
              <a:fillRect/>
            </a:stretch>
          </xdr:blipFill>
          <xdr:spPr bwMode="auto">
            <a:xfrm>
              <a:off x="213360" y="175260"/>
              <a:ext cx="10767060" cy="14249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45720</xdr:colOff>
      <xdr:row>93</xdr:row>
      <xdr:rowOff>114301</xdr:rowOff>
    </xdr:from>
    <xdr:to>
      <xdr:col>7</xdr:col>
      <xdr:colOff>41564</xdr:colOff>
      <xdr:row>95</xdr:row>
      <xdr:rowOff>124865</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6340" y="15605761"/>
          <a:ext cx="3996344" cy="389659"/>
        </a:xfrm>
        <a:prstGeom prst="rect">
          <a:avLst/>
        </a:prstGeom>
      </xdr:spPr>
    </xdr:pic>
    <xdr:clientData/>
  </xdr:twoCellAnchor>
  <xdr:twoCellAnchor editAs="oneCell">
    <xdr:from>
      <xdr:col>2</xdr:col>
      <xdr:colOff>7621</xdr:colOff>
      <xdr:row>143</xdr:row>
      <xdr:rowOff>68581</xdr:rowOff>
    </xdr:from>
    <xdr:to>
      <xdr:col>6</xdr:col>
      <xdr:colOff>130926</xdr:colOff>
      <xdr:row>145</xdr:row>
      <xdr:rowOff>170066</xdr:rowOff>
    </xdr:to>
    <xdr:pic>
      <xdr:nvPicPr>
        <xdr:cNvPr id="8" name="Picture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58241" y="22997161"/>
          <a:ext cx="3319895" cy="486295"/>
        </a:xfrm>
        <a:prstGeom prst="rect">
          <a:avLst/>
        </a:prstGeom>
      </xdr:spPr>
    </xdr:pic>
    <xdr:clientData/>
  </xdr:twoCellAnchor>
  <xdr:twoCellAnchor editAs="oneCell">
    <xdr:from>
      <xdr:col>3</xdr:col>
      <xdr:colOff>657226</xdr:colOff>
      <xdr:row>8</xdr:row>
      <xdr:rowOff>152400</xdr:rowOff>
    </xdr:from>
    <xdr:to>
      <xdr:col>11</xdr:col>
      <xdr:colOff>554831</xdr:colOff>
      <xdr:row>22</xdr:row>
      <xdr:rowOff>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3"/>
        <a:stretch>
          <a:fillRect/>
        </a:stretch>
      </xdr:blipFill>
      <xdr:spPr>
        <a:xfrm>
          <a:off x="2562226" y="2905125"/>
          <a:ext cx="6283165" cy="2514600"/>
        </a:xfrm>
        <a:prstGeom prst="rect">
          <a:avLst/>
        </a:prstGeom>
      </xdr:spPr>
    </xdr:pic>
    <xdr:clientData/>
  </xdr:twoCellAnchor>
  <xdr:twoCellAnchor editAs="oneCell">
    <xdr:from>
      <xdr:col>3</xdr:col>
      <xdr:colOff>676275</xdr:colOff>
      <xdr:row>53</xdr:row>
      <xdr:rowOff>0</xdr:rowOff>
    </xdr:from>
    <xdr:to>
      <xdr:col>11</xdr:col>
      <xdr:colOff>86381</xdr:colOff>
      <xdr:row>65</xdr:row>
      <xdr:rowOff>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4"/>
        <a:stretch>
          <a:fillRect/>
        </a:stretch>
      </xdr:blipFill>
      <xdr:spPr>
        <a:xfrm>
          <a:off x="2581275" y="10944225"/>
          <a:ext cx="5789951" cy="2286000"/>
        </a:xfrm>
        <a:prstGeom prst="rect">
          <a:avLst/>
        </a:prstGeom>
      </xdr:spPr>
    </xdr:pic>
    <xdr:clientData/>
  </xdr:twoCellAnchor>
  <xdr:twoCellAnchor>
    <xdr:from>
      <xdr:col>2</xdr:col>
      <xdr:colOff>44450</xdr:colOff>
      <xdr:row>93</xdr:row>
      <xdr:rowOff>112184</xdr:rowOff>
    </xdr:from>
    <xdr:to>
      <xdr:col>7</xdr:col>
      <xdr:colOff>31750</xdr:colOff>
      <xdr:row>95</xdr:row>
      <xdr:rowOff>139700</xdr:rowOff>
    </xdr:to>
    <xdr:grpSp>
      <xdr:nvGrpSpPr>
        <xdr:cNvPr id="9" name="Group 8">
          <a:extLst>
            <a:ext uri="{FF2B5EF4-FFF2-40B4-BE49-F238E27FC236}">
              <a16:creationId xmlns:a16="http://schemas.microsoft.com/office/drawing/2014/main" id="{00000000-0008-0000-0300-000009000000}"/>
            </a:ext>
          </a:extLst>
        </xdr:cNvPr>
        <xdr:cNvGrpSpPr/>
      </xdr:nvGrpSpPr>
      <xdr:grpSpPr>
        <a:xfrm>
          <a:off x="1158875" y="19276484"/>
          <a:ext cx="3844925" cy="408516"/>
          <a:chOff x="0" y="0"/>
          <a:chExt cx="6359525" cy="609600"/>
        </a:xfrm>
      </xdr:grpSpPr>
      <xdr:pic>
        <xdr:nvPicPr>
          <xdr:cNvPr id="10" name="Picture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6359525" cy="609600"/>
          </a:xfrm>
          <a:prstGeom prst="rect">
            <a:avLst/>
          </a:prstGeom>
        </xdr:spPr>
      </xdr:pic>
      <xdr:pic>
        <xdr:nvPicPr>
          <xdr:cNvPr id="11" name="Picture 10">
            <a:extLst>
              <a:ext uri="{FF2B5EF4-FFF2-40B4-BE49-F238E27FC236}">
                <a16:creationId xmlns:a16="http://schemas.microsoft.com/office/drawing/2014/main" id="{00000000-0008-0000-0300-00000B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5257" r="3038"/>
          <a:stretch/>
        </xdr:blipFill>
        <xdr:spPr bwMode="auto">
          <a:xfrm>
            <a:off x="1930400" y="120650"/>
            <a:ext cx="996950" cy="488950"/>
          </a:xfrm>
          <a:prstGeom prst="rect">
            <a:avLst/>
          </a:prstGeom>
          <a:ln>
            <a:noFill/>
          </a:ln>
          <a:extLst>
            <a:ext uri="{53640926-AAD7-44D8-BBD7-CCE9431645EC}">
              <a14:shadowObscured xmlns:a14="http://schemas.microsoft.com/office/drawing/2010/main"/>
            </a:ext>
          </a:extLst>
        </xdr:spPr>
      </xdr:pic>
    </xdr:grpSp>
    <xdr:clientData/>
  </xdr:twoCellAnchor>
  <mc:AlternateContent xmlns:mc="http://schemas.openxmlformats.org/markup-compatibility/2006">
    <mc:Choice xmlns:a14="http://schemas.microsoft.com/office/drawing/2010/main" Requires="a14">
      <xdr:twoCellAnchor editAs="oneCell">
        <xdr:from>
          <xdr:col>0</xdr:col>
          <xdr:colOff>215900</xdr:colOff>
          <xdr:row>0</xdr:row>
          <xdr:rowOff>171450</xdr:rowOff>
        </xdr:from>
        <xdr:to>
          <xdr:col>13</xdr:col>
          <xdr:colOff>59690</xdr:colOff>
          <xdr:row>1</xdr:row>
          <xdr:rowOff>1363345</xdr:rowOff>
        </xdr:to>
        <xdr:pic>
          <xdr:nvPicPr>
            <xdr:cNvPr id="6" name="Picture 5">
              <a:extLst>
                <a:ext uri="{FF2B5EF4-FFF2-40B4-BE49-F238E27FC236}">
                  <a16:creationId xmlns:a16="http://schemas.microsoft.com/office/drawing/2014/main" id="{B8EC825C-FAAC-4BF8-8D5B-F43FD10E5218}"/>
                </a:ext>
              </a:extLst>
            </xdr:cNvPr>
            <xdr:cNvPicPr>
              <a:picLocks noChangeAspect="1"/>
              <a:extLst>
                <a:ext uri="{84589F7E-364E-4C9E-8A38-B11213B215E9}">
                  <a14:cameraTool cellRange="Picture2" spid="_x0000_s59620"/>
                </a:ext>
              </a:extLst>
            </xdr:cNvPicPr>
          </xdr:nvPicPr>
          <xdr:blipFill>
            <a:blip xmlns:r="http://schemas.openxmlformats.org/officeDocument/2006/relationships" r:embed="rId7"/>
            <a:stretch>
              <a:fillRect/>
            </a:stretch>
          </xdr:blipFill>
          <xdr:spPr>
            <a:xfrm>
              <a:off x="215900" y="171450"/>
              <a:ext cx="11118850" cy="1376363"/>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215900</xdr:colOff>
          <xdr:row>0</xdr:row>
          <xdr:rowOff>171450</xdr:rowOff>
        </xdr:from>
        <xdr:to>
          <xdr:col>13</xdr:col>
          <xdr:colOff>59690</xdr:colOff>
          <xdr:row>1</xdr:row>
          <xdr:rowOff>1363345</xdr:rowOff>
        </xdr:to>
        <xdr:pic>
          <xdr:nvPicPr>
            <xdr:cNvPr id="42842" name="Picture 5">
              <a:extLst>
                <a:ext uri="{FF2B5EF4-FFF2-40B4-BE49-F238E27FC236}">
                  <a16:creationId xmlns:a16="http://schemas.microsoft.com/office/drawing/2014/main" id="{FC8DE9C5-1D71-D5B5-D648-CE1A9CF44DA1}"/>
                </a:ext>
              </a:extLst>
            </xdr:cNvPr>
            <xdr:cNvPicPr>
              <a:picLocks noChangeAspect="1" noChangeArrowheads="1"/>
              <a:extLst>
                <a:ext uri="{84589F7E-364E-4C9E-8A38-B11213B215E9}">
                  <a14:cameraTool cellRange="Picture2" spid="_x0000_s59621"/>
                </a:ext>
              </a:extLst>
            </xdr:cNvPicPr>
          </xdr:nvPicPr>
          <xdr:blipFill>
            <a:blip xmlns:r="http://schemas.openxmlformats.org/officeDocument/2006/relationships" r:embed="rId7"/>
            <a:srcRect/>
            <a:stretch>
              <a:fillRect/>
            </a:stretch>
          </xdr:blipFill>
          <xdr:spPr bwMode="auto">
            <a:xfrm>
              <a:off x="215900" y="171450"/>
              <a:ext cx="11055350" cy="13779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2</xdr:col>
      <xdr:colOff>30480</xdr:colOff>
      <xdr:row>108</xdr:row>
      <xdr:rowOff>91441</xdr:rowOff>
    </xdr:from>
    <xdr:to>
      <xdr:col>7</xdr:col>
      <xdr:colOff>22514</xdr:colOff>
      <xdr:row>110</xdr:row>
      <xdr:rowOff>115341</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3940" y="17365981"/>
          <a:ext cx="3996344" cy="389659"/>
        </a:xfrm>
        <a:prstGeom prst="rect">
          <a:avLst/>
        </a:prstGeom>
      </xdr:spPr>
    </xdr:pic>
    <xdr:clientData/>
  </xdr:twoCellAnchor>
  <xdr:twoCellAnchor editAs="oneCell">
    <xdr:from>
      <xdr:col>1</xdr:col>
      <xdr:colOff>792481</xdr:colOff>
      <xdr:row>162</xdr:row>
      <xdr:rowOff>45721</xdr:rowOff>
    </xdr:from>
    <xdr:to>
      <xdr:col>6</xdr:col>
      <xdr:colOff>111876</xdr:colOff>
      <xdr:row>164</xdr:row>
      <xdr:rowOff>170066</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5841" y="25351741"/>
          <a:ext cx="3319895" cy="486295"/>
        </a:xfrm>
        <a:prstGeom prst="rect">
          <a:avLst/>
        </a:prstGeom>
      </xdr:spPr>
    </xdr:pic>
    <xdr:clientData/>
  </xdr:twoCellAnchor>
  <xdr:twoCellAnchor editAs="oneCell">
    <xdr:from>
      <xdr:col>2</xdr:col>
      <xdr:colOff>457200</xdr:colOff>
      <xdr:row>8</xdr:row>
      <xdr:rowOff>152400</xdr:rowOff>
    </xdr:from>
    <xdr:to>
      <xdr:col>13</xdr:col>
      <xdr:colOff>77552</xdr:colOff>
      <xdr:row>22</xdr:row>
      <xdr:rowOff>0</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447800" y="2905125"/>
          <a:ext cx="8545277" cy="2514600"/>
        </a:xfrm>
        <a:prstGeom prst="rect">
          <a:avLst/>
        </a:prstGeom>
      </xdr:spPr>
    </xdr:pic>
    <xdr:clientData/>
  </xdr:twoCellAnchor>
  <xdr:twoCellAnchor editAs="oneCell">
    <xdr:from>
      <xdr:col>2</xdr:col>
      <xdr:colOff>485775</xdr:colOff>
      <xdr:row>65</xdr:row>
      <xdr:rowOff>0</xdr:rowOff>
    </xdr:from>
    <xdr:to>
      <xdr:col>12</xdr:col>
      <xdr:colOff>568045</xdr:colOff>
      <xdr:row>77</xdr:row>
      <xdr:rowOff>0</xdr:rowOff>
    </xdr:to>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4"/>
        <a:stretch>
          <a:fillRect/>
        </a:stretch>
      </xdr:blipFill>
      <xdr:spPr>
        <a:xfrm>
          <a:off x="1476375" y="12468225"/>
          <a:ext cx="8026120" cy="2286000"/>
        </a:xfrm>
        <a:prstGeom prst="rect">
          <a:avLst/>
        </a:prstGeom>
      </xdr:spPr>
    </xdr:pic>
    <xdr:clientData/>
  </xdr:twoCellAnchor>
  <xdr:twoCellAnchor>
    <xdr:from>
      <xdr:col>2</xdr:col>
      <xdr:colOff>21166</xdr:colOff>
      <xdr:row>108</xdr:row>
      <xdr:rowOff>105833</xdr:rowOff>
    </xdr:from>
    <xdr:to>
      <xdr:col>7</xdr:col>
      <xdr:colOff>57150</xdr:colOff>
      <xdr:row>110</xdr:row>
      <xdr:rowOff>114300</xdr:rowOff>
    </xdr:to>
    <xdr:grpSp>
      <xdr:nvGrpSpPr>
        <xdr:cNvPr id="8" name="Group 7">
          <a:extLst>
            <a:ext uri="{FF2B5EF4-FFF2-40B4-BE49-F238E27FC236}">
              <a16:creationId xmlns:a16="http://schemas.microsoft.com/office/drawing/2014/main" id="{00000000-0008-0000-0400-000008000000}"/>
            </a:ext>
          </a:extLst>
        </xdr:cNvPr>
        <xdr:cNvGrpSpPr/>
      </xdr:nvGrpSpPr>
      <xdr:grpSpPr>
        <a:xfrm>
          <a:off x="1002241" y="22508633"/>
          <a:ext cx="3893609" cy="389467"/>
          <a:chOff x="0" y="0"/>
          <a:chExt cx="6359525" cy="609600"/>
        </a:xfrm>
      </xdr:grpSpPr>
      <xdr:pic>
        <xdr:nvPicPr>
          <xdr:cNvPr id="9" name="Picture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6359525" cy="609600"/>
          </a:xfrm>
          <a:prstGeom prst="rect">
            <a:avLst/>
          </a:prstGeom>
        </xdr:spPr>
      </xdr:pic>
      <xdr:pic>
        <xdr:nvPicPr>
          <xdr:cNvPr id="10" name="Picture 9">
            <a:extLst>
              <a:ext uri="{FF2B5EF4-FFF2-40B4-BE49-F238E27FC236}">
                <a16:creationId xmlns:a16="http://schemas.microsoft.com/office/drawing/2014/main" id="{00000000-0008-0000-0400-00000A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5257" r="3038"/>
          <a:stretch/>
        </xdr:blipFill>
        <xdr:spPr bwMode="auto">
          <a:xfrm>
            <a:off x="1930400" y="120650"/>
            <a:ext cx="996950" cy="488950"/>
          </a:xfrm>
          <a:prstGeom prst="rect">
            <a:avLst/>
          </a:prstGeom>
          <a:ln>
            <a:noFill/>
          </a:ln>
          <a:extLst>
            <a:ext uri="{53640926-AAD7-44D8-BBD7-CCE9431645EC}">
              <a14:shadowObscured xmlns:a14="http://schemas.microsoft.com/office/drawing/2010/main"/>
            </a:ext>
          </a:extLst>
        </xdr:spPr>
      </xdr:pic>
    </xdr:grpSp>
    <xdr:clientData/>
  </xdr:twoCellAnchor>
  <mc:AlternateContent xmlns:mc="http://schemas.openxmlformats.org/markup-compatibility/2006">
    <mc:Choice xmlns:a14="http://schemas.microsoft.com/office/drawing/2010/main" Requires="a14">
      <xdr:twoCellAnchor editAs="oneCell">
        <xdr:from>
          <xdr:col>0</xdr:col>
          <xdr:colOff>222249</xdr:colOff>
          <xdr:row>0</xdr:row>
          <xdr:rowOff>171450</xdr:rowOff>
        </xdr:from>
        <xdr:to>
          <xdr:col>14</xdr:col>
          <xdr:colOff>38101</xdr:colOff>
          <xdr:row>2</xdr:row>
          <xdr:rowOff>65726</xdr:rowOff>
        </xdr:to>
        <xdr:pic>
          <xdr:nvPicPr>
            <xdr:cNvPr id="6" name="Picture 5">
              <a:extLst>
                <a:ext uri="{FF2B5EF4-FFF2-40B4-BE49-F238E27FC236}">
                  <a16:creationId xmlns:a16="http://schemas.microsoft.com/office/drawing/2014/main" id="{D4C1A290-DDCE-4A20-B988-273BAC3697BD}"/>
                </a:ext>
              </a:extLst>
            </xdr:cNvPr>
            <xdr:cNvPicPr>
              <a:picLocks noChangeAspect="1"/>
              <a:extLst>
                <a:ext uri="{84589F7E-364E-4C9E-8A38-B11213B215E9}">
                  <a14:cameraTool cellRange="Picture3" spid="_x0000_s44905"/>
                </a:ext>
              </a:extLst>
            </xdr:cNvPicPr>
          </xdr:nvPicPr>
          <xdr:blipFill>
            <a:blip xmlns:r="http://schemas.openxmlformats.org/officeDocument/2006/relationships" r:embed="rId7"/>
            <a:stretch>
              <a:fillRect/>
            </a:stretch>
          </xdr:blipFill>
          <xdr:spPr>
            <a:xfrm>
              <a:off x="222249" y="171450"/>
              <a:ext cx="11118852" cy="1496381"/>
            </a:xfrm>
            <a:prstGeom prst="rect">
              <a:avLst/>
            </a:prstGeom>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3</xdr:col>
      <xdr:colOff>12700</xdr:colOff>
      <xdr:row>5</xdr:row>
      <xdr:rowOff>844550</xdr:rowOff>
    </xdr:from>
    <xdr:to>
      <xdr:col>3</xdr:col>
      <xdr:colOff>3943350</xdr:colOff>
      <xdr:row>8</xdr:row>
      <xdr:rowOff>266700</xdr:rowOff>
    </xdr:to>
    <xdr:pic>
      <xdr:nvPicPr>
        <xdr:cNvPr id="10" name="Picture 9" descr="https://images.tips.net/S02/Figs/T3128F1.png">
          <a:extLst>
            <a:ext uri="{FF2B5EF4-FFF2-40B4-BE49-F238E27FC236}">
              <a16:creationId xmlns:a16="http://schemas.microsoft.com/office/drawing/2014/main" id="{056FA6D2-C1D9-47FE-BFD1-65997BA21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28400" y="2901950"/>
          <a:ext cx="3905250" cy="2438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xdr:colOff>
      <xdr:row>11</xdr:row>
      <xdr:rowOff>1</xdr:rowOff>
    </xdr:from>
    <xdr:to>
      <xdr:col>1</xdr:col>
      <xdr:colOff>10036175</xdr:colOff>
      <xdr:row>11</xdr:row>
      <xdr:rowOff>1287798</xdr:rowOff>
    </xdr:to>
    <xdr:pic>
      <xdr:nvPicPr>
        <xdr:cNvPr id="28" name="Picture 27">
          <a:extLst>
            <a:ext uri="{FF2B5EF4-FFF2-40B4-BE49-F238E27FC236}">
              <a16:creationId xmlns:a16="http://schemas.microsoft.com/office/drawing/2014/main" id="{812FF404-AA9D-4BD0-BAA7-A999C99F43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877" y="9294814"/>
          <a:ext cx="10493373" cy="1287797"/>
        </a:xfrm>
        <a:prstGeom prst="rect">
          <a:avLst/>
        </a:prstGeom>
      </xdr:spPr>
    </xdr:pic>
    <xdr:clientData/>
  </xdr:twoCellAnchor>
  <xdr:twoCellAnchor editAs="oneCell">
    <xdr:from>
      <xdr:col>1</xdr:col>
      <xdr:colOff>1732</xdr:colOff>
      <xdr:row>13</xdr:row>
      <xdr:rowOff>1</xdr:rowOff>
    </xdr:from>
    <xdr:to>
      <xdr:col>2</xdr:col>
      <xdr:colOff>4041</xdr:colOff>
      <xdr:row>13</xdr:row>
      <xdr:rowOff>1225586</xdr:rowOff>
    </xdr:to>
    <xdr:pic>
      <xdr:nvPicPr>
        <xdr:cNvPr id="30" name="Picture 29">
          <a:extLst>
            <a:ext uri="{FF2B5EF4-FFF2-40B4-BE49-F238E27FC236}">
              <a16:creationId xmlns:a16="http://schemas.microsoft.com/office/drawing/2014/main" id="{5E50D4DE-7CC5-4A82-B515-D16C207CBC2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6050" y="12145819"/>
          <a:ext cx="10498859" cy="1225585"/>
        </a:xfrm>
        <a:prstGeom prst="rect">
          <a:avLst/>
        </a:prstGeom>
      </xdr:spPr>
    </xdr:pic>
    <xdr:clientData/>
  </xdr:twoCellAnchor>
  <xdr:twoCellAnchor editAs="oneCell">
    <xdr:from>
      <xdr:col>0</xdr:col>
      <xdr:colOff>63499</xdr:colOff>
      <xdr:row>2</xdr:row>
      <xdr:rowOff>37418</xdr:rowOff>
    </xdr:from>
    <xdr:to>
      <xdr:col>2</xdr:col>
      <xdr:colOff>7256</xdr:colOff>
      <xdr:row>3</xdr:row>
      <xdr:rowOff>14810</xdr:rowOff>
    </xdr:to>
    <xdr:pic>
      <xdr:nvPicPr>
        <xdr:cNvPr id="20" name="Picture 19">
          <a:extLst>
            <a:ext uri="{FF2B5EF4-FFF2-40B4-BE49-F238E27FC236}">
              <a16:creationId xmlns:a16="http://schemas.microsoft.com/office/drawing/2014/main" id="{FABA1A99-40EF-4FAF-AD42-C32FD587859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3499" y="402543"/>
          <a:ext cx="10611757" cy="1295017"/>
        </a:xfrm>
        <a:prstGeom prst="rect">
          <a:avLst/>
        </a:prstGeom>
      </xdr:spPr>
    </xdr:pic>
    <xdr:clientData/>
  </xdr:twoCellAnchor>
  <xdr:twoCellAnchor editAs="oneCell">
    <xdr:from>
      <xdr:col>1</xdr:col>
      <xdr:colOff>9070</xdr:colOff>
      <xdr:row>5</xdr:row>
      <xdr:rowOff>23811</xdr:rowOff>
    </xdr:from>
    <xdr:to>
      <xdr:col>2</xdr:col>
      <xdr:colOff>15875</xdr:colOff>
      <xdr:row>5</xdr:row>
      <xdr:rowOff>1263787</xdr:rowOff>
    </xdr:to>
    <xdr:pic>
      <xdr:nvPicPr>
        <xdr:cNvPr id="7" name="Picture 6">
          <a:extLst>
            <a:ext uri="{FF2B5EF4-FFF2-40B4-BE49-F238E27FC236}">
              <a16:creationId xmlns:a16="http://schemas.microsoft.com/office/drawing/2014/main" id="{CC8255FD-5A73-4452-9FBD-C7242E33941E}"/>
            </a:ext>
          </a:extLst>
        </xdr:cNvPr>
        <xdr:cNvPicPr>
          <a:picLocks noChangeAspect="1"/>
        </xdr:cNvPicPr>
      </xdr:nvPicPr>
      <xdr:blipFill>
        <a:blip xmlns:r="http://schemas.openxmlformats.org/officeDocument/2006/relationships" r:embed="rId5"/>
        <a:stretch>
          <a:fillRect/>
        </a:stretch>
      </xdr:blipFill>
      <xdr:spPr>
        <a:xfrm>
          <a:off x="151945" y="2071686"/>
          <a:ext cx="10531930" cy="1239976"/>
        </a:xfrm>
        <a:prstGeom prst="rect">
          <a:avLst/>
        </a:prstGeom>
      </xdr:spPr>
    </xdr:pic>
    <xdr:clientData/>
  </xdr:twoCellAnchor>
  <xdr:twoCellAnchor editAs="oneCell">
    <xdr:from>
      <xdr:col>1</xdr:col>
      <xdr:colOff>1</xdr:colOff>
      <xdr:row>7</xdr:row>
      <xdr:rowOff>32632</xdr:rowOff>
    </xdr:from>
    <xdr:to>
      <xdr:col>2</xdr:col>
      <xdr:colOff>7938</xdr:colOff>
      <xdr:row>7</xdr:row>
      <xdr:rowOff>1264393</xdr:rowOff>
    </xdr:to>
    <xdr:pic>
      <xdr:nvPicPr>
        <xdr:cNvPr id="21" name="Picture 20">
          <a:extLst>
            <a:ext uri="{FF2B5EF4-FFF2-40B4-BE49-F238E27FC236}">
              <a16:creationId xmlns:a16="http://schemas.microsoft.com/office/drawing/2014/main" id="{7EB0A33D-0E54-4480-8A1E-AF38706F6D4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48168" y="3687410"/>
          <a:ext cx="10527770" cy="1231761"/>
        </a:xfrm>
        <a:prstGeom prst="rect">
          <a:avLst/>
        </a:prstGeom>
      </xdr:spPr>
    </xdr:pic>
    <xdr:clientData/>
  </xdr:twoCellAnchor>
  <xdr:twoCellAnchor editAs="oneCell">
    <xdr:from>
      <xdr:col>0</xdr:col>
      <xdr:colOff>142119</xdr:colOff>
      <xdr:row>9</xdr:row>
      <xdr:rowOff>7057</xdr:rowOff>
    </xdr:from>
    <xdr:to>
      <xdr:col>1</xdr:col>
      <xdr:colOff>10036175</xdr:colOff>
      <xdr:row>9</xdr:row>
      <xdr:rowOff>1243383</xdr:rowOff>
    </xdr:to>
    <xdr:pic>
      <xdr:nvPicPr>
        <xdr:cNvPr id="23" name="Picture 22">
          <a:extLst>
            <a:ext uri="{FF2B5EF4-FFF2-40B4-BE49-F238E27FC236}">
              <a16:creationId xmlns:a16="http://schemas.microsoft.com/office/drawing/2014/main" id="{2EA035B8-6A65-483F-8493-425EA2CF2E16}"/>
            </a:ext>
          </a:extLst>
        </xdr:cNvPr>
        <xdr:cNvPicPr>
          <a:picLocks noChangeAspect="1"/>
        </xdr:cNvPicPr>
      </xdr:nvPicPr>
      <xdr:blipFill>
        <a:blip xmlns:r="http://schemas.openxmlformats.org/officeDocument/2006/relationships" r:embed="rId5"/>
        <a:stretch>
          <a:fillRect/>
        </a:stretch>
      </xdr:blipFill>
      <xdr:spPr>
        <a:xfrm>
          <a:off x="142119" y="6476120"/>
          <a:ext cx="10494131" cy="1236326"/>
        </a:xfrm>
        <a:prstGeom prst="rect">
          <a:avLst/>
        </a:prstGeom>
      </xdr:spPr>
    </xdr:pic>
    <xdr:clientData/>
  </xdr:twoCellAnchor>
  <xdr:twoCellAnchor editAs="oneCell">
    <xdr:from>
      <xdr:col>3</xdr:col>
      <xdr:colOff>1</xdr:colOff>
      <xdr:row>15</xdr:row>
      <xdr:rowOff>1</xdr:rowOff>
    </xdr:from>
    <xdr:to>
      <xdr:col>4</xdr:col>
      <xdr:colOff>1058</xdr:colOff>
      <xdr:row>15</xdr:row>
      <xdr:rowOff>1576494</xdr:rowOff>
    </xdr:to>
    <xdr:pic>
      <xdr:nvPicPr>
        <xdr:cNvPr id="31" name="Picture 30">
          <a:extLst>
            <a:ext uri="{FF2B5EF4-FFF2-40B4-BE49-F238E27FC236}">
              <a16:creationId xmlns:a16="http://schemas.microsoft.com/office/drawing/2014/main" id="{9015C63D-12BD-42FD-ADB6-1332024E0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324168" y="13800668"/>
          <a:ext cx="12869332" cy="157649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AD34B601-73FB-427B-A201-AD7DEBE931C0}" name="Table2" displayName="Table2" ref="A1:B7" totalsRowShown="0" headerRowDxfId="26" dataDxfId="25">
  <autoFilter ref="A1:B7" xr:uid="{00000000-0009-0000-0100-000002000000}"/>
  <tableColumns count="2">
    <tableColumn id="1" xr3:uid="{F1B866F4-6FDE-42F7-8D63-91E2A83CA3BA}" name="Nominal Stud Size" dataDxfId="24"/>
    <tableColumn id="2" xr3:uid="{B881151D-0FEB-414C-BBB6-D88322E81AC0}" name="Area" dataDxfId="23"/>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96"/>
  <sheetViews>
    <sheetView showGridLines="0" showRowColHeaders="0" topLeftCell="A2" zoomScaleNormal="100" zoomScaleSheetLayoutView="70" zoomScalePageLayoutView="60" workbookViewId="0">
      <selection activeCell="B6" sqref="B6:C6"/>
    </sheetView>
  </sheetViews>
  <sheetFormatPr defaultRowHeight="15" x14ac:dyDescent="0.25"/>
  <cols>
    <col min="1" max="1" width="3.140625" customWidth="1"/>
    <col min="2" max="2" width="18.140625" customWidth="1"/>
    <col min="3" max="3" width="142.42578125" customWidth="1"/>
    <col min="4" max="4" width="109.140625" customWidth="1"/>
    <col min="12" max="12" width="60" customWidth="1"/>
    <col min="13" max="13" width="169.5703125" customWidth="1"/>
  </cols>
  <sheetData>
    <row r="1" spans="1:12" x14ac:dyDescent="0.25">
      <c r="A1" s="204"/>
      <c r="B1" s="204"/>
      <c r="C1" s="204"/>
      <c r="D1" s="204"/>
    </row>
    <row r="2" spans="1:12" ht="111.75" customHeight="1" x14ac:dyDescent="0.25">
      <c r="A2" s="204"/>
      <c r="B2" s="210" t="str">
        <f ca="1">IF(TODAY()&lt;DATE(2026,2,28),"InstructLogo","Expire")</f>
        <v>InstructLogo</v>
      </c>
      <c r="C2" s="211"/>
      <c r="D2" s="204"/>
      <c r="E2" s="15"/>
      <c r="F2" s="15"/>
      <c r="G2" s="15"/>
      <c r="H2" s="15"/>
      <c r="I2" s="15"/>
      <c r="J2" s="15"/>
      <c r="K2" s="15"/>
      <c r="L2" s="15"/>
    </row>
    <row r="3" spans="1:12" ht="15.75" thickBot="1" x14ac:dyDescent="0.3">
      <c r="A3" s="204"/>
      <c r="B3" s="205" t="s">
        <v>0</v>
      </c>
      <c r="C3" s="205"/>
      <c r="D3" s="204"/>
      <c r="E3" s="97"/>
      <c r="F3" s="97"/>
      <c r="G3" s="97"/>
      <c r="H3" s="97"/>
      <c r="I3" s="97"/>
      <c r="J3" s="97"/>
      <c r="K3" s="97"/>
      <c r="L3" s="97"/>
    </row>
    <row r="4" spans="1:12" ht="46.5" customHeight="1" x14ac:dyDescent="0.25">
      <c r="A4" s="204"/>
      <c r="B4" s="209" t="s">
        <v>1</v>
      </c>
      <c r="C4" s="209"/>
      <c r="D4" s="204"/>
      <c r="E4" s="94"/>
      <c r="F4" s="94"/>
      <c r="G4" s="94"/>
      <c r="H4" s="94"/>
      <c r="I4" s="94"/>
      <c r="J4" s="94"/>
      <c r="K4" s="94"/>
      <c r="L4" s="94"/>
    </row>
    <row r="5" spans="1:12" ht="15" customHeight="1" x14ac:dyDescent="0.25">
      <c r="A5" s="204"/>
      <c r="B5" s="207"/>
      <c r="C5" s="207"/>
      <c r="D5" s="204"/>
      <c r="E5" s="94"/>
      <c r="F5" s="94"/>
      <c r="G5" s="94"/>
      <c r="H5" s="94"/>
      <c r="I5" s="94"/>
      <c r="J5" s="94"/>
      <c r="K5" s="94"/>
      <c r="L5" s="94"/>
    </row>
    <row r="6" spans="1:12" ht="32.25" customHeight="1" x14ac:dyDescent="0.25">
      <c r="A6" s="204"/>
      <c r="B6" s="207" t="s">
        <v>2</v>
      </c>
      <c r="C6" s="207"/>
      <c r="D6" s="204"/>
      <c r="E6" s="94"/>
      <c r="F6" s="94"/>
      <c r="G6" s="94"/>
      <c r="H6" s="94"/>
      <c r="I6" s="94"/>
      <c r="J6" s="94"/>
      <c r="K6" s="94"/>
      <c r="L6" s="94"/>
    </row>
    <row r="7" spans="1:12" ht="32.25" customHeight="1" x14ac:dyDescent="0.25">
      <c r="A7" s="204"/>
      <c r="B7" s="215" t="s">
        <v>436</v>
      </c>
      <c r="C7" s="215"/>
      <c r="D7" s="204"/>
      <c r="E7" s="94"/>
      <c r="F7" s="94"/>
      <c r="G7" s="94"/>
      <c r="H7" s="94"/>
      <c r="I7" s="94"/>
      <c r="J7" s="94"/>
      <c r="K7" s="94"/>
      <c r="L7" s="94"/>
    </row>
    <row r="8" spans="1:12" ht="16.5" customHeight="1" x14ac:dyDescent="0.25">
      <c r="A8" s="204"/>
      <c r="B8" s="206"/>
      <c r="C8" s="206"/>
      <c r="D8" s="204"/>
      <c r="E8" s="94"/>
      <c r="F8" s="94"/>
      <c r="G8" s="94"/>
      <c r="H8" s="94"/>
      <c r="I8" s="94"/>
      <c r="J8" s="94"/>
      <c r="K8" s="94"/>
      <c r="L8" s="94"/>
    </row>
    <row r="9" spans="1:12" ht="15.75" thickBot="1" x14ac:dyDescent="0.3">
      <c r="A9" s="204"/>
      <c r="B9" s="208" t="s">
        <v>3</v>
      </c>
      <c r="C9" s="208"/>
      <c r="D9" s="204"/>
      <c r="E9" s="97"/>
      <c r="F9" s="97"/>
      <c r="G9" s="97"/>
      <c r="H9" s="97"/>
      <c r="I9" s="97"/>
      <c r="J9" s="97"/>
      <c r="K9" s="97"/>
      <c r="L9" s="97"/>
    </row>
    <row r="10" spans="1:12" x14ac:dyDescent="0.25">
      <c r="A10" s="204"/>
      <c r="B10" s="69" t="s">
        <v>4</v>
      </c>
      <c r="C10" s="108" t="s">
        <v>5</v>
      </c>
      <c r="D10" s="204"/>
      <c r="E10" s="32"/>
      <c r="F10" s="32"/>
      <c r="G10" s="32"/>
      <c r="H10" s="32"/>
      <c r="I10" s="32"/>
      <c r="J10" s="32"/>
      <c r="K10" s="32"/>
      <c r="L10" s="32"/>
    </row>
    <row r="11" spans="1:12" x14ac:dyDescent="0.25">
      <c r="A11" s="204"/>
      <c r="B11" s="69" t="s">
        <v>6</v>
      </c>
      <c r="C11" s="109" t="s">
        <v>7</v>
      </c>
      <c r="D11" s="204"/>
    </row>
    <row r="12" spans="1:12" x14ac:dyDescent="0.25">
      <c r="A12" s="204"/>
      <c r="B12" s="69" t="s">
        <v>8</v>
      </c>
      <c r="C12" s="109" t="s">
        <v>9</v>
      </c>
      <c r="D12" s="204"/>
    </row>
    <row r="13" spans="1:12" ht="18" x14ac:dyDescent="0.35">
      <c r="A13" s="204"/>
      <c r="B13" s="69" t="s">
        <v>10</v>
      </c>
      <c r="C13" s="109" t="s">
        <v>11</v>
      </c>
      <c r="D13" s="204"/>
    </row>
    <row r="14" spans="1:12" ht="18" x14ac:dyDescent="0.35">
      <c r="A14" s="204"/>
      <c r="B14" s="69" t="s">
        <v>12</v>
      </c>
      <c r="C14" s="110" t="s">
        <v>13</v>
      </c>
      <c r="D14" s="204"/>
    </row>
    <row r="15" spans="1:12" ht="15" customHeight="1" x14ac:dyDescent="0.35">
      <c r="A15" s="204"/>
      <c r="B15" s="69" t="s">
        <v>14</v>
      </c>
      <c r="C15" s="110" t="s">
        <v>15</v>
      </c>
      <c r="D15" s="204"/>
      <c r="E15" s="103"/>
      <c r="F15" s="103"/>
      <c r="G15" s="103"/>
      <c r="H15" s="103"/>
      <c r="I15" s="103"/>
      <c r="J15" s="103"/>
      <c r="K15" s="103"/>
      <c r="L15" s="103"/>
    </row>
    <row r="16" spans="1:12" ht="15" customHeight="1" x14ac:dyDescent="0.35">
      <c r="A16" s="204"/>
      <c r="B16" s="69" t="s">
        <v>16</v>
      </c>
      <c r="C16" s="109" t="s">
        <v>17</v>
      </c>
      <c r="D16" s="204"/>
      <c r="E16" s="103"/>
      <c r="F16" s="103"/>
      <c r="G16" s="103"/>
      <c r="H16" s="103"/>
      <c r="I16" s="103"/>
      <c r="J16" s="103"/>
      <c r="K16" s="103"/>
      <c r="L16" s="103"/>
    </row>
    <row r="17" spans="1:12" ht="15" customHeight="1" x14ac:dyDescent="0.35">
      <c r="A17" s="204"/>
      <c r="B17" s="69" t="s">
        <v>18</v>
      </c>
      <c r="C17" s="109" t="s">
        <v>19</v>
      </c>
      <c r="D17" s="204"/>
      <c r="E17" s="103"/>
      <c r="F17" s="103"/>
      <c r="G17" s="103"/>
      <c r="H17" s="103"/>
      <c r="I17" s="103"/>
      <c r="J17" s="103"/>
      <c r="K17" s="103"/>
      <c r="L17" s="103"/>
    </row>
    <row r="18" spans="1:12" ht="15" customHeight="1" x14ac:dyDescent="0.25">
      <c r="A18" s="204"/>
      <c r="B18" s="69" t="s">
        <v>20</v>
      </c>
      <c r="C18" s="109" t="s">
        <v>21</v>
      </c>
      <c r="D18" s="204"/>
      <c r="E18" s="103"/>
      <c r="F18" s="103"/>
      <c r="G18" s="103"/>
      <c r="H18" s="103"/>
      <c r="I18" s="103"/>
      <c r="J18" s="103"/>
      <c r="K18" s="103"/>
      <c r="L18" s="103"/>
    </row>
    <row r="19" spans="1:12" ht="15" customHeight="1" x14ac:dyDescent="0.25">
      <c r="A19" s="204"/>
      <c r="B19" s="69"/>
      <c r="C19" s="109" t="s">
        <v>22</v>
      </c>
      <c r="D19" s="204"/>
      <c r="E19" s="103"/>
      <c r="F19" s="103"/>
      <c r="G19" s="103"/>
      <c r="H19" s="103"/>
      <c r="I19" s="103"/>
      <c r="J19" s="103"/>
      <c r="K19" s="103"/>
      <c r="L19" s="103"/>
    </row>
    <row r="20" spans="1:12" x14ac:dyDescent="0.25">
      <c r="A20" s="204"/>
      <c r="D20" s="204"/>
      <c r="E20" s="4"/>
      <c r="F20" s="4"/>
      <c r="G20" s="4"/>
      <c r="H20" s="4"/>
      <c r="I20" s="4"/>
      <c r="J20" s="4"/>
      <c r="K20" s="4"/>
      <c r="L20" s="4"/>
    </row>
    <row r="21" spans="1:12" ht="15.75" thickBot="1" x14ac:dyDescent="0.3">
      <c r="A21" s="204"/>
      <c r="B21" s="208" t="s">
        <v>23</v>
      </c>
      <c r="C21" s="208"/>
      <c r="D21" s="204"/>
      <c r="E21" s="97"/>
      <c r="F21" s="97"/>
      <c r="G21" s="97"/>
      <c r="H21" s="97"/>
      <c r="I21" s="97"/>
      <c r="J21" s="97"/>
      <c r="K21" s="97"/>
      <c r="L21" s="97"/>
    </row>
    <row r="22" spans="1:12" ht="7.5" customHeight="1" x14ac:dyDescent="0.25">
      <c r="A22" s="204"/>
      <c r="B22" s="97"/>
      <c r="C22" s="97"/>
      <c r="D22" s="204"/>
      <c r="E22" s="97"/>
      <c r="F22" s="97"/>
      <c r="G22" s="97"/>
      <c r="H22" s="97"/>
      <c r="I22" s="97"/>
      <c r="J22" s="97"/>
      <c r="K22" s="97"/>
      <c r="L22" s="97"/>
    </row>
    <row r="23" spans="1:12" ht="15.75" thickBot="1" x14ac:dyDescent="0.3">
      <c r="A23" s="204"/>
      <c r="B23" s="218" t="s">
        <v>24</v>
      </c>
      <c r="C23" s="218"/>
      <c r="D23" s="204"/>
      <c r="E23" s="97"/>
      <c r="F23" s="97"/>
      <c r="G23" s="97"/>
      <c r="H23" s="97"/>
      <c r="I23" s="97"/>
      <c r="J23" s="97"/>
      <c r="K23" s="97"/>
      <c r="L23" s="97"/>
    </row>
    <row r="24" spans="1:12" ht="18.75" thickTop="1" x14ac:dyDescent="0.35">
      <c r="A24" s="204"/>
      <c r="B24" s="69" t="s">
        <v>25</v>
      </c>
      <c r="C24" s="136" t="s">
        <v>26</v>
      </c>
      <c r="D24" s="204"/>
      <c r="E24" s="97"/>
      <c r="F24" s="97"/>
      <c r="G24" s="97"/>
      <c r="H24" s="97"/>
      <c r="I24" s="97"/>
      <c r="J24" s="97"/>
      <c r="K24" s="97"/>
      <c r="L24" s="97"/>
    </row>
    <row r="25" spans="1:12" ht="15" customHeight="1" x14ac:dyDescent="0.25">
      <c r="A25" s="204"/>
      <c r="B25" s="217" t="s">
        <v>27</v>
      </c>
      <c r="C25" s="111" t="s">
        <v>28</v>
      </c>
      <c r="D25" s="204"/>
    </row>
    <row r="26" spans="1:12" x14ac:dyDescent="0.25">
      <c r="A26" s="204"/>
      <c r="B26" s="217"/>
      <c r="C26" s="112" t="s">
        <v>29</v>
      </c>
      <c r="D26" s="204"/>
    </row>
    <row r="27" spans="1:12" x14ac:dyDescent="0.25">
      <c r="A27" s="204"/>
      <c r="B27" s="69" t="s">
        <v>30</v>
      </c>
      <c r="C27" s="113" t="s">
        <v>31</v>
      </c>
      <c r="D27" s="204"/>
    </row>
    <row r="28" spans="1:12" ht="18" x14ac:dyDescent="0.35">
      <c r="A28" s="204"/>
      <c r="B28" s="69" t="s">
        <v>32</v>
      </c>
      <c r="C28" s="113" t="s">
        <v>33</v>
      </c>
      <c r="D28" s="204"/>
    </row>
    <row r="29" spans="1:12" ht="15" customHeight="1" x14ac:dyDescent="0.25">
      <c r="A29" s="204"/>
      <c r="C29" s="114" t="s">
        <v>34</v>
      </c>
      <c r="D29" s="204"/>
    </row>
    <row r="30" spans="1:12" ht="18" x14ac:dyDescent="0.35">
      <c r="A30" s="204"/>
      <c r="B30" s="69" t="s">
        <v>35</v>
      </c>
      <c r="C30" s="113" t="s">
        <v>36</v>
      </c>
      <c r="D30" s="204"/>
    </row>
    <row r="31" spans="1:12" ht="15" customHeight="1" x14ac:dyDescent="0.25">
      <c r="A31" s="204"/>
      <c r="B31" s="116" t="s">
        <v>37</v>
      </c>
      <c r="C31" s="114" t="s">
        <v>38</v>
      </c>
      <c r="D31" s="204"/>
    </row>
    <row r="32" spans="1:12" x14ac:dyDescent="0.25">
      <c r="A32" s="204"/>
      <c r="B32" s="69"/>
      <c r="C32" s="113" t="s">
        <v>39</v>
      </c>
      <c r="D32" s="204"/>
    </row>
    <row r="33" spans="1:12" ht="18" x14ac:dyDescent="0.35">
      <c r="A33" s="204"/>
      <c r="B33" s="69" t="s">
        <v>40</v>
      </c>
      <c r="C33" s="114" t="s">
        <v>41</v>
      </c>
      <c r="D33" s="204"/>
    </row>
    <row r="34" spans="1:12" x14ac:dyDescent="0.25">
      <c r="A34" s="204"/>
      <c r="B34" s="69" t="s">
        <v>42</v>
      </c>
      <c r="C34" s="117" t="s">
        <v>43</v>
      </c>
      <c r="D34" s="204"/>
    </row>
    <row r="35" spans="1:12" x14ac:dyDescent="0.25">
      <c r="A35" s="204"/>
      <c r="B35" s="69" t="s">
        <v>44</v>
      </c>
      <c r="C35" s="117" t="s">
        <v>45</v>
      </c>
      <c r="D35" s="204"/>
    </row>
    <row r="36" spans="1:12" ht="7.5" customHeight="1" x14ac:dyDescent="0.25">
      <c r="A36" s="204"/>
      <c r="B36" s="69"/>
      <c r="C36" s="114"/>
      <c r="D36" s="204"/>
    </row>
    <row r="37" spans="1:12" ht="15.75" thickBot="1" x14ac:dyDescent="0.3">
      <c r="A37" s="204"/>
      <c r="B37" s="218" t="s">
        <v>46</v>
      </c>
      <c r="C37" s="218"/>
      <c r="D37" s="204"/>
    </row>
    <row r="38" spans="1:12" ht="15.75" thickTop="1" x14ac:dyDescent="0.25">
      <c r="A38" s="204"/>
      <c r="B38" s="69" t="s">
        <v>47</v>
      </c>
      <c r="C38" s="113" t="s">
        <v>48</v>
      </c>
      <c r="D38" s="204"/>
    </row>
    <row r="39" spans="1:12" ht="15" customHeight="1" x14ac:dyDescent="0.25">
      <c r="A39" s="204"/>
      <c r="B39" s="69" t="s">
        <v>49</v>
      </c>
      <c r="C39" s="115" t="s">
        <v>50</v>
      </c>
      <c r="D39" s="204"/>
      <c r="E39" s="94"/>
      <c r="F39" s="94"/>
      <c r="G39" s="94"/>
      <c r="H39" s="94"/>
      <c r="I39" s="94"/>
      <c r="J39" s="94"/>
      <c r="K39" s="94"/>
      <c r="L39" s="94"/>
    </row>
    <row r="40" spans="1:12" ht="15" customHeight="1" x14ac:dyDescent="0.25">
      <c r="A40" s="204"/>
      <c r="B40" s="69"/>
      <c r="C40" s="115" t="s">
        <v>51</v>
      </c>
      <c r="D40" s="204"/>
      <c r="E40" s="94"/>
      <c r="F40" s="94"/>
      <c r="G40" s="94"/>
      <c r="H40" s="94"/>
      <c r="I40" s="94"/>
      <c r="J40" s="94"/>
      <c r="K40" s="94"/>
      <c r="L40" s="94"/>
    </row>
    <row r="41" spans="1:12" ht="15" customHeight="1" x14ac:dyDescent="0.25">
      <c r="A41" s="204"/>
      <c r="B41" s="69" t="s">
        <v>52</v>
      </c>
      <c r="C41" s="115" t="s">
        <v>53</v>
      </c>
      <c r="D41" s="204"/>
      <c r="E41" s="94"/>
      <c r="F41" s="94"/>
      <c r="G41" s="94"/>
      <c r="H41" s="94"/>
      <c r="I41" s="94"/>
      <c r="J41" s="94"/>
      <c r="K41" s="94"/>
      <c r="L41" s="94"/>
    </row>
    <row r="42" spans="1:12" ht="15" customHeight="1" x14ac:dyDescent="0.25">
      <c r="A42" s="204"/>
      <c r="B42" s="69" t="s">
        <v>54</v>
      </c>
      <c r="C42" s="110" t="s">
        <v>55</v>
      </c>
      <c r="D42" s="204"/>
      <c r="E42" s="94"/>
      <c r="F42" s="94"/>
      <c r="G42" s="94"/>
      <c r="H42" s="94"/>
      <c r="I42" s="94"/>
      <c r="J42" s="94"/>
      <c r="K42" s="94"/>
      <c r="L42" s="94"/>
    </row>
    <row r="43" spans="1:12" ht="15" customHeight="1" x14ac:dyDescent="0.25">
      <c r="A43" s="204"/>
      <c r="B43" s="69" t="s">
        <v>56</v>
      </c>
      <c r="C43" s="110" t="s">
        <v>57</v>
      </c>
      <c r="D43" s="204"/>
      <c r="E43" s="94"/>
      <c r="F43" s="94"/>
      <c r="G43" s="94"/>
      <c r="H43" s="94"/>
      <c r="I43" s="94"/>
      <c r="J43" s="94"/>
      <c r="K43" s="94"/>
      <c r="L43" s="94"/>
    </row>
    <row r="44" spans="1:12" ht="15" customHeight="1" x14ac:dyDescent="0.25">
      <c r="A44" s="204"/>
      <c r="B44" s="69" t="s">
        <v>58</v>
      </c>
      <c r="C44" s="190" t="s">
        <v>59</v>
      </c>
      <c r="D44" s="204"/>
      <c r="E44" s="94"/>
      <c r="F44" s="94"/>
      <c r="G44" s="94"/>
      <c r="H44" s="94"/>
      <c r="I44" s="94"/>
      <c r="J44" s="94"/>
      <c r="K44" s="94"/>
      <c r="L44" s="94"/>
    </row>
    <row r="45" spans="1:12" ht="15" customHeight="1" x14ac:dyDescent="0.25">
      <c r="A45" s="204"/>
      <c r="B45" s="69"/>
      <c r="C45" s="103" t="s">
        <v>60</v>
      </c>
      <c r="D45" s="204"/>
      <c r="E45" s="94"/>
      <c r="F45" s="94"/>
      <c r="G45" s="94"/>
      <c r="H45" s="94"/>
      <c r="I45" s="94"/>
      <c r="J45" s="94"/>
      <c r="K45" s="94"/>
      <c r="L45" s="94"/>
    </row>
    <row r="46" spans="1:12" x14ac:dyDescent="0.25">
      <c r="A46" s="204"/>
      <c r="B46" s="69" t="s">
        <v>61</v>
      </c>
      <c r="C46" s="117" t="s">
        <v>62</v>
      </c>
      <c r="D46" s="204"/>
      <c r="E46" s="104"/>
      <c r="F46" s="104"/>
      <c r="G46" s="104"/>
      <c r="H46" s="104"/>
      <c r="I46" s="104"/>
      <c r="J46" s="104"/>
      <c r="K46" s="104"/>
      <c r="L46" s="104"/>
    </row>
    <row r="47" spans="1:12" ht="15" customHeight="1" x14ac:dyDescent="0.25">
      <c r="A47" s="204"/>
      <c r="B47" s="69" t="s">
        <v>63</v>
      </c>
      <c r="C47" s="114" t="s">
        <v>64</v>
      </c>
      <c r="D47" s="204"/>
      <c r="E47" s="94"/>
      <c r="F47" s="94"/>
      <c r="G47" s="94"/>
      <c r="H47" s="94"/>
      <c r="I47" s="94"/>
      <c r="J47" s="94"/>
      <c r="K47" s="94"/>
      <c r="L47" s="94"/>
    </row>
    <row r="48" spans="1:12" x14ac:dyDescent="0.25">
      <c r="A48" s="204"/>
      <c r="B48" s="216"/>
      <c r="C48" s="216"/>
      <c r="D48" s="204"/>
      <c r="E48" s="69"/>
      <c r="F48" s="69"/>
      <c r="G48" s="69"/>
      <c r="H48" s="69"/>
      <c r="I48" s="69"/>
      <c r="J48" s="69"/>
      <c r="K48" s="69"/>
      <c r="L48" s="69"/>
    </row>
    <row r="49" spans="1:12" ht="15.75" thickBot="1" x14ac:dyDescent="0.3">
      <c r="A49" s="204"/>
      <c r="B49" s="208" t="s">
        <v>65</v>
      </c>
      <c r="C49" s="208"/>
      <c r="D49" s="204"/>
      <c r="E49" s="97"/>
      <c r="F49" s="97"/>
      <c r="G49" s="97"/>
      <c r="H49" s="97"/>
      <c r="I49" s="97"/>
      <c r="J49" s="97"/>
      <c r="K49" s="97"/>
      <c r="L49" s="97"/>
    </row>
    <row r="50" spans="1:12" ht="15.75" customHeight="1" x14ac:dyDescent="0.25">
      <c r="A50" s="204"/>
      <c r="B50" s="209" t="s">
        <v>66</v>
      </c>
      <c r="C50" s="209"/>
      <c r="D50" s="204"/>
      <c r="E50" s="94"/>
      <c r="F50" s="94"/>
      <c r="G50" s="94"/>
      <c r="H50" s="94"/>
      <c r="I50" s="94"/>
      <c r="J50" s="94"/>
      <c r="K50" s="94"/>
      <c r="L50" s="94"/>
    </row>
    <row r="51" spans="1:12" ht="31.5" customHeight="1" x14ac:dyDescent="0.25">
      <c r="A51" s="204"/>
      <c r="B51" s="207" t="s">
        <v>67</v>
      </c>
      <c r="C51" s="207"/>
      <c r="D51" s="204"/>
      <c r="E51" s="94"/>
      <c r="F51" s="94"/>
      <c r="G51" s="94"/>
      <c r="H51" s="94"/>
      <c r="I51" s="94"/>
      <c r="J51" s="94"/>
      <c r="K51" s="94"/>
      <c r="L51" s="94"/>
    </row>
    <row r="52" spans="1:12" ht="30.75" customHeight="1" x14ac:dyDescent="0.25">
      <c r="A52" s="204"/>
      <c r="B52" s="207" t="s">
        <v>68</v>
      </c>
      <c r="C52" s="207"/>
      <c r="D52" s="204"/>
      <c r="E52" s="94"/>
      <c r="F52" s="94"/>
      <c r="G52" s="94"/>
      <c r="H52" s="94"/>
      <c r="I52" s="94"/>
      <c r="J52" s="94"/>
      <c r="K52" s="94"/>
      <c r="L52" s="94"/>
    </row>
    <row r="53" spans="1:12" ht="48" customHeight="1" x14ac:dyDescent="0.25">
      <c r="A53" s="204"/>
      <c r="B53" s="207" t="s">
        <v>69</v>
      </c>
      <c r="C53" s="207"/>
      <c r="D53" s="204"/>
      <c r="E53" s="94"/>
      <c r="F53" s="94"/>
      <c r="G53" s="94"/>
      <c r="H53" s="94"/>
      <c r="I53" s="94"/>
      <c r="J53" s="94"/>
      <c r="K53" s="94"/>
      <c r="L53" s="94"/>
    </row>
    <row r="54" spans="1:12" ht="45.6" customHeight="1" x14ac:dyDescent="0.25">
      <c r="A54" s="204"/>
      <c r="B54" s="207" t="s">
        <v>70</v>
      </c>
      <c r="C54" s="207"/>
      <c r="D54" s="204"/>
      <c r="E54" s="94"/>
      <c r="F54" s="94"/>
      <c r="G54" s="94"/>
      <c r="H54" s="94"/>
      <c r="I54" s="94"/>
      <c r="J54" s="94"/>
      <c r="K54" s="94"/>
      <c r="L54" s="94"/>
    </row>
    <row r="55" spans="1:12" ht="47.25" customHeight="1" x14ac:dyDescent="0.25">
      <c r="A55" s="204"/>
      <c r="B55" s="207" t="s">
        <v>71</v>
      </c>
      <c r="C55" s="207"/>
      <c r="D55" s="204"/>
      <c r="E55" s="94"/>
      <c r="F55" s="94"/>
      <c r="G55" s="94"/>
      <c r="H55" s="94"/>
      <c r="I55" s="94"/>
      <c r="J55" s="94"/>
      <c r="K55" s="94"/>
      <c r="L55" s="94"/>
    </row>
    <row r="56" spans="1:12" ht="45" customHeight="1" x14ac:dyDescent="0.25">
      <c r="A56" s="204"/>
      <c r="B56" s="207" t="s">
        <v>72</v>
      </c>
      <c r="C56" s="207"/>
      <c r="D56" s="204"/>
      <c r="E56" s="94"/>
      <c r="F56" s="94"/>
      <c r="G56" s="94"/>
      <c r="H56" s="94"/>
      <c r="I56" s="94"/>
      <c r="J56" s="94"/>
      <c r="K56" s="94"/>
      <c r="L56" s="94"/>
    </row>
    <row r="57" spans="1:12" ht="30.6" customHeight="1" x14ac:dyDescent="0.25">
      <c r="A57" s="204"/>
      <c r="B57" s="214" t="s">
        <v>73</v>
      </c>
      <c r="C57" s="207"/>
      <c r="D57" s="204"/>
      <c r="E57" s="94"/>
      <c r="F57" s="94"/>
      <c r="G57" s="94"/>
      <c r="H57" s="94"/>
      <c r="I57" s="94"/>
      <c r="J57" s="94"/>
      <c r="K57" s="94"/>
      <c r="L57" s="94"/>
    </row>
    <row r="58" spans="1:12" x14ac:dyDescent="0.25">
      <c r="A58" s="204"/>
      <c r="B58" s="214" t="s">
        <v>74</v>
      </c>
      <c r="C58" s="207"/>
      <c r="D58" s="204"/>
      <c r="E58" s="94"/>
      <c r="F58" s="94"/>
      <c r="G58" s="94"/>
      <c r="H58" s="94"/>
      <c r="I58" s="94"/>
      <c r="J58" s="94"/>
      <c r="K58" s="94"/>
      <c r="L58" s="94"/>
    </row>
    <row r="59" spans="1:12" ht="32.25" customHeight="1" x14ac:dyDescent="0.25">
      <c r="A59" s="204"/>
      <c r="B59" s="207" t="s">
        <v>75</v>
      </c>
      <c r="C59" s="207"/>
      <c r="D59" s="204"/>
      <c r="E59" s="32"/>
      <c r="F59" s="32"/>
      <c r="G59" s="32"/>
      <c r="H59" s="32"/>
      <c r="I59" s="32"/>
      <c r="J59" s="32"/>
      <c r="K59" s="32"/>
      <c r="L59" s="32"/>
    </row>
    <row r="60" spans="1:12" ht="15" customHeight="1" x14ac:dyDescent="0.25">
      <c r="A60" s="204"/>
      <c r="B60" s="94"/>
      <c r="C60" s="94"/>
      <c r="D60" s="204"/>
      <c r="E60" s="32"/>
      <c r="F60" s="32"/>
      <c r="G60" s="32"/>
      <c r="H60" s="32"/>
      <c r="I60" s="32"/>
      <c r="J60" s="32"/>
      <c r="K60" s="32"/>
      <c r="L60" s="32"/>
    </row>
    <row r="61" spans="1:12" ht="15.75" thickBot="1" x14ac:dyDescent="0.3">
      <c r="A61" s="204"/>
      <c r="B61" s="208" t="s">
        <v>76</v>
      </c>
      <c r="C61" s="208"/>
      <c r="D61" s="204"/>
      <c r="E61" s="97"/>
      <c r="F61" s="97"/>
      <c r="G61" s="97"/>
      <c r="H61" s="97"/>
      <c r="I61" s="97"/>
      <c r="J61" s="97"/>
      <c r="K61" s="97"/>
      <c r="L61" s="97"/>
    </row>
    <row r="62" spans="1:12" ht="14.45" customHeight="1" x14ac:dyDescent="0.25">
      <c r="A62" s="204"/>
      <c r="B62" s="212" t="s">
        <v>77</v>
      </c>
      <c r="C62" s="212"/>
      <c r="D62" s="204"/>
      <c r="E62" s="95"/>
      <c r="F62" s="95"/>
      <c r="G62" s="95"/>
      <c r="H62" s="95"/>
      <c r="I62" s="95"/>
      <c r="J62" s="95"/>
      <c r="K62" s="95"/>
      <c r="L62" s="95"/>
    </row>
    <row r="63" spans="1:12" x14ac:dyDescent="0.25">
      <c r="A63" s="106"/>
      <c r="B63" s="213"/>
      <c r="C63" s="213"/>
      <c r="D63" s="106"/>
      <c r="E63" s="95"/>
      <c r="F63" s="95"/>
      <c r="G63" s="95"/>
      <c r="H63" s="95"/>
      <c r="I63" s="95"/>
      <c r="J63" s="95"/>
      <c r="K63" s="95"/>
      <c r="L63" s="95"/>
    </row>
    <row r="64" spans="1:12" x14ac:dyDescent="0.25">
      <c r="A64" s="106"/>
      <c r="B64" s="213"/>
      <c r="C64" s="213"/>
      <c r="D64" s="106"/>
      <c r="E64" s="95"/>
      <c r="F64" s="95"/>
      <c r="G64" s="95"/>
      <c r="H64" s="95"/>
      <c r="I64" s="95"/>
      <c r="J64" s="95"/>
      <c r="K64" s="95"/>
      <c r="L64" s="95"/>
    </row>
    <row r="65" spans="1:4" x14ac:dyDescent="0.25">
      <c r="A65" s="106"/>
      <c r="B65" s="213"/>
      <c r="C65" s="213"/>
      <c r="D65" s="106"/>
    </row>
    <row r="66" spans="1:4" x14ac:dyDescent="0.25">
      <c r="A66" s="106"/>
      <c r="B66" s="213"/>
      <c r="C66" s="213"/>
      <c r="D66" s="106"/>
    </row>
    <row r="67" spans="1:4" x14ac:dyDescent="0.25">
      <c r="A67" s="106"/>
      <c r="B67" s="213"/>
      <c r="C67" s="213"/>
      <c r="D67" s="106"/>
    </row>
    <row r="68" spans="1:4" x14ac:dyDescent="0.25">
      <c r="A68" s="106"/>
      <c r="B68" s="213"/>
      <c r="C68" s="213"/>
      <c r="D68" s="106"/>
    </row>
    <row r="69" spans="1:4" x14ac:dyDescent="0.25">
      <c r="A69" s="106"/>
      <c r="B69" s="213"/>
      <c r="C69" s="213"/>
      <c r="D69" s="106"/>
    </row>
    <row r="70" spans="1:4" x14ac:dyDescent="0.25">
      <c r="A70" s="106"/>
      <c r="B70" s="213"/>
      <c r="C70" s="213"/>
      <c r="D70" s="106"/>
    </row>
    <row r="71" spans="1:4" x14ac:dyDescent="0.25">
      <c r="A71" s="106"/>
      <c r="B71" s="213"/>
      <c r="C71" s="213"/>
      <c r="D71" s="106"/>
    </row>
    <row r="72" spans="1:4" x14ac:dyDescent="0.25">
      <c r="A72" s="106"/>
      <c r="B72" s="213"/>
      <c r="C72" s="213"/>
      <c r="D72" s="106"/>
    </row>
    <row r="73" spans="1:4" x14ac:dyDescent="0.25">
      <c r="A73" s="106"/>
      <c r="B73" s="213"/>
      <c r="C73" s="213"/>
      <c r="D73" s="106"/>
    </row>
    <row r="74" spans="1:4" x14ac:dyDescent="0.25">
      <c r="A74" s="106"/>
      <c r="B74" s="213"/>
      <c r="C74" s="213"/>
      <c r="D74" s="106"/>
    </row>
    <row r="75" spans="1:4" x14ac:dyDescent="0.25">
      <c r="A75" s="106"/>
      <c r="B75" s="213"/>
      <c r="C75" s="213"/>
      <c r="D75" s="106"/>
    </row>
    <row r="76" spans="1:4" x14ac:dyDescent="0.25">
      <c r="A76" s="106"/>
      <c r="B76" s="213"/>
      <c r="C76" s="213"/>
      <c r="D76" s="106"/>
    </row>
    <row r="77" spans="1:4" x14ac:dyDescent="0.25">
      <c r="A77" s="106"/>
      <c r="B77" s="213"/>
      <c r="C77" s="213"/>
      <c r="D77" s="106"/>
    </row>
    <row r="78" spans="1:4" x14ac:dyDescent="0.25">
      <c r="A78" s="106"/>
      <c r="B78" s="213"/>
      <c r="C78" s="213"/>
      <c r="D78" s="106"/>
    </row>
    <row r="79" spans="1:4" x14ac:dyDescent="0.25">
      <c r="A79" s="106"/>
      <c r="B79" s="213"/>
      <c r="C79" s="213"/>
      <c r="D79" s="106"/>
    </row>
    <row r="80" spans="1:4" x14ac:dyDescent="0.25">
      <c r="A80" s="106"/>
      <c r="B80" s="213"/>
      <c r="C80" s="213"/>
      <c r="D80" s="106"/>
    </row>
    <row r="81" spans="1:4" x14ac:dyDescent="0.25">
      <c r="A81" s="106"/>
      <c r="B81" s="213"/>
      <c r="C81" s="213"/>
      <c r="D81" s="106"/>
    </row>
    <row r="82" spans="1:4" x14ac:dyDescent="0.25">
      <c r="A82" s="106"/>
      <c r="B82" s="213"/>
      <c r="C82" s="213"/>
      <c r="D82" s="106"/>
    </row>
    <row r="83" spans="1:4" x14ac:dyDescent="0.25">
      <c r="A83" s="106"/>
      <c r="B83" s="213"/>
      <c r="C83" s="213"/>
      <c r="D83" s="106"/>
    </row>
    <row r="84" spans="1:4" x14ac:dyDescent="0.25">
      <c r="A84" s="106"/>
      <c r="B84" s="213"/>
      <c r="C84" s="213"/>
      <c r="D84" s="106"/>
    </row>
    <row r="85" spans="1:4" x14ac:dyDescent="0.25">
      <c r="A85" s="106"/>
      <c r="B85" s="213"/>
      <c r="C85" s="213"/>
      <c r="D85" s="106"/>
    </row>
    <row r="86" spans="1:4" x14ac:dyDescent="0.25">
      <c r="A86" s="106"/>
      <c r="B86" s="213"/>
      <c r="C86" s="213"/>
      <c r="D86" s="106"/>
    </row>
    <row r="87" spans="1:4" x14ac:dyDescent="0.25">
      <c r="A87" s="106"/>
      <c r="B87" s="213"/>
      <c r="C87" s="213"/>
      <c r="D87" s="106"/>
    </row>
    <row r="88" spans="1:4" x14ac:dyDescent="0.25">
      <c r="A88" s="106"/>
      <c r="B88" s="213"/>
      <c r="C88" s="213"/>
      <c r="D88" s="106"/>
    </row>
    <row r="89" spans="1:4" x14ac:dyDescent="0.25">
      <c r="A89" s="106"/>
      <c r="B89" s="213"/>
      <c r="C89" s="213"/>
      <c r="D89" s="106"/>
    </row>
    <row r="90" spans="1:4" x14ac:dyDescent="0.25">
      <c r="A90" s="106"/>
      <c r="B90" s="213"/>
      <c r="C90" s="213"/>
      <c r="D90" s="106"/>
    </row>
    <row r="91" spans="1:4" x14ac:dyDescent="0.25">
      <c r="A91" s="106"/>
      <c r="B91" s="213"/>
      <c r="C91" s="213"/>
      <c r="D91" s="106"/>
    </row>
    <row r="92" spans="1:4" x14ac:dyDescent="0.25">
      <c r="A92" s="106"/>
      <c r="B92" s="213"/>
      <c r="C92" s="213"/>
      <c r="D92" s="106"/>
    </row>
    <row r="93" spans="1:4" x14ac:dyDescent="0.25">
      <c r="A93" s="106"/>
      <c r="B93" s="213"/>
      <c r="C93" s="213"/>
      <c r="D93" s="106"/>
    </row>
    <row r="94" spans="1:4" x14ac:dyDescent="0.25">
      <c r="A94" s="106"/>
      <c r="B94" s="213"/>
      <c r="C94" s="213"/>
      <c r="D94" s="106"/>
    </row>
    <row r="95" spans="1:4" x14ac:dyDescent="0.25">
      <c r="A95" s="106"/>
      <c r="B95" s="213"/>
      <c r="C95" s="213"/>
      <c r="D95" s="106"/>
    </row>
    <row r="96" spans="1:4" x14ac:dyDescent="0.25">
      <c r="B96" s="213"/>
      <c r="C96" s="213"/>
    </row>
  </sheetData>
  <sheetProtection algorithmName="SHA-512" hashValue="gfK1ACqHMwJbeR6XNXtMnItYG5FIyzOvciUB1u0dnRhj+hYPm0VytHR5SqTkLPLHn+8rOttswXG+iDFfBE2Xxg==" saltValue="TtlTwGb2OeE8wrxmbCutRQ==" spinCount="100000" sheet="1" objects="1" scenarios="1"/>
  <mergeCells count="28">
    <mergeCell ref="B56:C56"/>
    <mergeCell ref="B57:C57"/>
    <mergeCell ref="B58:C58"/>
    <mergeCell ref="B7:C7"/>
    <mergeCell ref="B1:C1"/>
    <mergeCell ref="B48:C48"/>
    <mergeCell ref="B6:C6"/>
    <mergeCell ref="B9:C9"/>
    <mergeCell ref="B25:B26"/>
    <mergeCell ref="B23:C23"/>
    <mergeCell ref="B37:C37"/>
    <mergeCell ref="B4:C5"/>
    <mergeCell ref="A1:A62"/>
    <mergeCell ref="B3:C3"/>
    <mergeCell ref="D1:D62"/>
    <mergeCell ref="B8:C8"/>
    <mergeCell ref="B53:C53"/>
    <mergeCell ref="B54:C54"/>
    <mergeCell ref="B55:C55"/>
    <mergeCell ref="B61:C61"/>
    <mergeCell ref="B21:C21"/>
    <mergeCell ref="B49:C49"/>
    <mergeCell ref="B50:C50"/>
    <mergeCell ref="B51:C51"/>
    <mergeCell ref="B52:C52"/>
    <mergeCell ref="B2:C2"/>
    <mergeCell ref="B62:C96"/>
    <mergeCell ref="B59:C59"/>
  </mergeCells>
  <printOptions horizontalCentered="1"/>
  <pageMargins left="0.45" right="0.45" top="0.7" bottom="0.6" header="0.3" footer="0.3"/>
  <pageSetup scale="56" orientation="portrait" horizontalDpi="4294967293" verticalDpi="4294967293" r:id="rId1"/>
  <rowBreaks count="1" manualBreakCount="1">
    <brk id="59" min="1" max="2" man="1"/>
  </rowBreaks>
  <colBreaks count="2" manualBreakCount="2">
    <brk id="1" max="1048575" man="1"/>
    <brk id="3" max="71"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Z209"/>
  <sheetViews>
    <sheetView zoomScaleNormal="100" workbookViewId="0">
      <selection activeCell="L4" sqref="L4:M4"/>
    </sheetView>
  </sheetViews>
  <sheetFormatPr defaultRowHeight="15" x14ac:dyDescent="0.25"/>
  <cols>
    <col min="1" max="1" width="3.140625" customWidth="1"/>
    <col min="2" max="2" width="13.5703125" customWidth="1"/>
    <col min="3" max="10" width="11.5703125" customWidth="1"/>
    <col min="11" max="11" width="13.5703125" customWidth="1"/>
    <col min="12" max="12" width="17.85546875" customWidth="1"/>
    <col min="13" max="13" width="19.140625" customWidth="1"/>
    <col min="14" max="14" width="169.42578125" customWidth="1"/>
    <col min="15" max="15" width="15.5703125" hidden="1" customWidth="1"/>
    <col min="16" max="16" width="6" bestFit="1" customWidth="1"/>
    <col min="17" max="17" width="5.5703125" bestFit="1" customWidth="1"/>
    <col min="18" max="19" width="5" bestFit="1" customWidth="1"/>
    <col min="20" max="20" width="4.5703125" bestFit="1" customWidth="1"/>
  </cols>
  <sheetData>
    <row r="1" spans="1:14" x14ac:dyDescent="0.25">
      <c r="A1" s="204"/>
      <c r="B1" s="204"/>
      <c r="C1" s="204"/>
      <c r="D1" s="204"/>
      <c r="E1" s="204"/>
      <c r="F1" s="204"/>
      <c r="G1" s="204"/>
      <c r="H1" s="204"/>
      <c r="I1" s="204"/>
      <c r="J1" s="204"/>
      <c r="K1" s="204"/>
      <c r="L1" s="204"/>
      <c r="M1" s="204"/>
      <c r="N1" s="204"/>
    </row>
    <row r="2" spans="1:14" ht="111.75" customHeight="1" x14ac:dyDescent="0.35">
      <c r="A2" s="204"/>
      <c r="B2" s="229"/>
      <c r="C2" s="229"/>
      <c r="D2" s="229"/>
      <c r="E2" s="229"/>
      <c r="F2" s="229"/>
      <c r="G2" s="229"/>
      <c r="H2" s="229"/>
      <c r="I2" s="229"/>
      <c r="J2" s="229"/>
      <c r="K2" s="229"/>
      <c r="L2" s="229"/>
      <c r="M2" s="34"/>
      <c r="N2" s="204"/>
    </row>
    <row r="3" spans="1:14" ht="15" customHeight="1" thickBot="1" x14ac:dyDescent="0.3">
      <c r="A3" s="204"/>
      <c r="B3" s="42" t="s">
        <v>78</v>
      </c>
      <c r="C3" s="42"/>
      <c r="D3" s="42"/>
      <c r="E3" s="6"/>
      <c r="F3" s="6"/>
      <c r="G3" s="6"/>
      <c r="H3" s="6"/>
      <c r="I3" s="6"/>
      <c r="J3" s="6"/>
      <c r="K3" s="6"/>
      <c r="L3" s="6"/>
      <c r="M3" s="6"/>
      <c r="N3" s="204"/>
    </row>
    <row r="4" spans="1:14" ht="15" customHeight="1" x14ac:dyDescent="0.25">
      <c r="A4" s="204"/>
      <c r="B4" s="36" t="s">
        <v>79</v>
      </c>
      <c r="C4" s="230" t="s">
        <v>80</v>
      </c>
      <c r="D4" s="230"/>
      <c r="E4" s="230"/>
      <c r="F4" s="230"/>
      <c r="G4" s="230"/>
      <c r="H4" s="230"/>
      <c r="I4" s="230"/>
      <c r="J4" s="230"/>
      <c r="K4" s="69" t="s">
        <v>81</v>
      </c>
      <c r="L4" s="230"/>
      <c r="M4" s="230"/>
      <c r="N4" s="204"/>
    </row>
    <row r="5" spans="1:14" ht="15" customHeight="1" x14ac:dyDescent="0.25">
      <c r="A5" s="204"/>
      <c r="B5" s="35" t="s">
        <v>82</v>
      </c>
      <c r="C5" s="230" t="s">
        <v>83</v>
      </c>
      <c r="D5" s="230"/>
      <c r="E5" s="230"/>
      <c r="F5" s="230"/>
      <c r="G5" s="230"/>
      <c r="H5" s="230"/>
      <c r="I5" s="230"/>
      <c r="J5" s="230"/>
      <c r="K5" s="230"/>
      <c r="L5" s="230"/>
      <c r="M5" s="230"/>
      <c r="N5" s="204"/>
    </row>
    <row r="6" spans="1:14" ht="15" customHeight="1" x14ac:dyDescent="0.25">
      <c r="A6" s="204"/>
      <c r="B6" s="35" t="s">
        <v>84</v>
      </c>
      <c r="C6" s="230"/>
      <c r="D6" s="230"/>
      <c r="E6" s="230"/>
      <c r="F6" s="230"/>
      <c r="G6" s="230"/>
      <c r="H6" s="230"/>
      <c r="I6" s="230"/>
      <c r="J6" s="230"/>
      <c r="K6" s="230"/>
      <c r="L6" s="230"/>
      <c r="M6" s="230"/>
      <c r="N6" s="204"/>
    </row>
    <row r="7" spans="1:14" ht="15" customHeight="1" x14ac:dyDescent="0.25">
      <c r="A7" s="204"/>
      <c r="B7" s="35" t="s">
        <v>85</v>
      </c>
      <c r="C7" s="231" t="s">
        <v>86</v>
      </c>
      <c r="D7" s="231"/>
      <c r="E7" s="231"/>
      <c r="F7" s="231"/>
      <c r="G7" s="231"/>
      <c r="H7" s="231"/>
      <c r="I7" s="231"/>
      <c r="J7" s="231"/>
      <c r="K7" s="231"/>
      <c r="L7" s="231"/>
      <c r="M7" s="231"/>
      <c r="N7" s="204"/>
    </row>
    <row r="8" spans="1:14" ht="15" customHeight="1" x14ac:dyDescent="0.25">
      <c r="A8" s="204"/>
      <c r="B8" s="35" t="s">
        <v>87</v>
      </c>
      <c r="C8" s="231"/>
      <c r="D8" s="231"/>
      <c r="E8" s="231"/>
      <c r="F8" s="231"/>
      <c r="G8" s="231"/>
      <c r="H8" s="231"/>
      <c r="I8" s="231"/>
      <c r="J8" s="231"/>
      <c r="K8" s="231"/>
      <c r="L8" s="231"/>
      <c r="M8" s="231"/>
      <c r="N8" s="204"/>
    </row>
    <row r="9" spans="1:14" ht="15" customHeight="1" x14ac:dyDescent="0.25">
      <c r="A9" s="204"/>
      <c r="B9" s="99"/>
      <c r="C9" s="100"/>
      <c r="D9" s="100"/>
      <c r="E9" s="100"/>
      <c r="F9" s="100"/>
      <c r="G9" s="100"/>
      <c r="N9" s="204"/>
    </row>
    <row r="10" spans="1:14" ht="15" customHeight="1" x14ac:dyDescent="0.25">
      <c r="A10" s="204"/>
      <c r="B10" s="99"/>
      <c r="C10" s="100"/>
      <c r="D10" s="100"/>
      <c r="E10" s="100"/>
      <c r="F10" s="100"/>
      <c r="G10" s="100"/>
      <c r="N10" s="204"/>
    </row>
    <row r="11" spans="1:14" ht="15" customHeight="1" x14ac:dyDescent="0.25">
      <c r="A11" s="204"/>
      <c r="B11" s="99"/>
      <c r="C11" s="100"/>
      <c r="D11" s="100"/>
      <c r="E11" s="100"/>
      <c r="F11" s="100"/>
      <c r="G11" s="100"/>
      <c r="N11" s="204"/>
    </row>
    <row r="12" spans="1:14" ht="15" customHeight="1" x14ac:dyDescent="0.25">
      <c r="A12" s="204"/>
      <c r="B12" s="99"/>
      <c r="C12" s="100"/>
      <c r="D12" s="100"/>
      <c r="E12" s="100"/>
      <c r="F12" s="100"/>
      <c r="G12" s="100"/>
      <c r="N12" s="204"/>
    </row>
    <row r="13" spans="1:14" ht="15" customHeight="1" x14ac:dyDescent="0.25">
      <c r="A13" s="204"/>
      <c r="B13" s="99"/>
      <c r="C13" s="100"/>
      <c r="D13" s="100"/>
      <c r="E13" s="100"/>
      <c r="F13" s="100"/>
      <c r="G13" s="100"/>
      <c r="N13" s="204"/>
    </row>
    <row r="14" spans="1:14" ht="15" customHeight="1" x14ac:dyDescent="0.25">
      <c r="A14" s="204"/>
      <c r="B14" s="99"/>
      <c r="C14" s="100"/>
      <c r="D14" s="100"/>
      <c r="E14" s="100"/>
      <c r="F14" s="100"/>
      <c r="G14" s="100"/>
      <c r="N14" s="204"/>
    </row>
    <row r="15" spans="1:14" ht="15" customHeight="1" x14ac:dyDescent="0.25">
      <c r="A15" s="204"/>
      <c r="B15" s="99"/>
      <c r="C15" s="100"/>
      <c r="D15" s="100"/>
      <c r="E15" s="100"/>
      <c r="F15" s="100"/>
      <c r="G15" s="100"/>
      <c r="N15" s="204"/>
    </row>
    <row r="16" spans="1:14" ht="15" customHeight="1" x14ac:dyDescent="0.25">
      <c r="A16" s="204"/>
      <c r="B16" s="99"/>
      <c r="C16" s="100"/>
      <c r="D16" s="100"/>
      <c r="E16" s="100"/>
      <c r="F16" s="100"/>
      <c r="G16" s="100"/>
      <c r="N16" s="204"/>
    </row>
    <row r="17" spans="1:26" ht="15" customHeight="1" x14ac:dyDescent="0.25">
      <c r="A17" s="204"/>
      <c r="N17" s="204"/>
    </row>
    <row r="18" spans="1:26" ht="15" customHeight="1" x14ac:dyDescent="0.25">
      <c r="A18" s="204"/>
      <c r="N18" s="204"/>
    </row>
    <row r="19" spans="1:26" ht="15" customHeight="1" x14ac:dyDescent="0.25">
      <c r="A19" s="204"/>
      <c r="N19" s="204"/>
    </row>
    <row r="20" spans="1:26" ht="15" customHeight="1" x14ac:dyDescent="0.25">
      <c r="A20" s="204"/>
      <c r="N20" s="204"/>
    </row>
    <row r="21" spans="1:26" ht="15" customHeight="1" x14ac:dyDescent="0.25">
      <c r="A21" s="204"/>
      <c r="N21" s="204"/>
    </row>
    <row r="22" spans="1:26" ht="15" customHeight="1" x14ac:dyDescent="0.25">
      <c r="A22" s="204"/>
      <c r="N22" s="204"/>
    </row>
    <row r="23" spans="1:26" ht="15" customHeight="1" thickBot="1" x14ac:dyDescent="0.3">
      <c r="A23" s="204"/>
      <c r="B23" s="208" t="s">
        <v>88</v>
      </c>
      <c r="C23" s="208"/>
      <c r="D23" s="208"/>
      <c r="E23" s="208"/>
      <c r="F23" s="208"/>
      <c r="G23" s="208"/>
      <c r="H23" s="208"/>
      <c r="I23" s="208"/>
      <c r="J23" s="208"/>
      <c r="K23" s="208"/>
      <c r="L23" s="208"/>
      <c r="M23" s="208"/>
      <c r="N23" s="204"/>
      <c r="U23" s="2"/>
      <c r="V23" s="1"/>
      <c r="Y23" s="2"/>
      <c r="Z23" s="1"/>
    </row>
    <row r="24" spans="1:26" ht="15" customHeight="1" thickBot="1" x14ac:dyDescent="0.3">
      <c r="A24" s="204"/>
      <c r="C24" s="2" t="s">
        <v>4</v>
      </c>
      <c r="D24" s="124">
        <v>3750</v>
      </c>
      <c r="F24" s="74" t="s">
        <v>89</v>
      </c>
      <c r="H24" s="74" t="s">
        <v>90</v>
      </c>
      <c r="J24" s="233" t="s">
        <v>91</v>
      </c>
      <c r="K24" s="233"/>
      <c r="L24" s="130" t="s">
        <v>92</v>
      </c>
      <c r="N24" s="204"/>
      <c r="U24" s="2"/>
      <c r="V24" s="60"/>
      <c r="Y24" s="2"/>
      <c r="Z24" s="60"/>
    </row>
    <row r="25" spans="1:26" ht="15" customHeight="1" thickTop="1" x14ac:dyDescent="0.35">
      <c r="A25" s="204"/>
      <c r="C25" s="2" t="s">
        <v>93</v>
      </c>
      <c r="D25" s="119">
        <v>4</v>
      </c>
      <c r="E25" s="2" t="s">
        <v>94</v>
      </c>
      <c r="F25" s="120">
        <v>1.33</v>
      </c>
      <c r="G25" s="2" t="s">
        <v>95</v>
      </c>
      <c r="H25" s="63">
        <f>IF(F25="","",F25)</f>
        <v>1.33</v>
      </c>
      <c r="J25" s="234" t="s">
        <v>96</v>
      </c>
      <c r="K25" s="235"/>
      <c r="L25" s="50" t="s">
        <v>97</v>
      </c>
      <c r="N25" s="204"/>
      <c r="U25" s="2"/>
      <c r="V25" s="60"/>
      <c r="Y25" s="2"/>
      <c r="Z25" s="60"/>
    </row>
    <row r="26" spans="1:26" ht="15" customHeight="1" x14ac:dyDescent="0.35">
      <c r="A26" s="204"/>
      <c r="C26" s="2" t="s">
        <v>98</v>
      </c>
      <c r="D26" s="125">
        <v>4</v>
      </c>
      <c r="E26" s="2" t="s">
        <v>99</v>
      </c>
      <c r="F26" s="121">
        <v>2.67</v>
      </c>
      <c r="G26" s="2" t="s">
        <v>100</v>
      </c>
      <c r="H26" s="63">
        <f>IF(F26="","",F26)</f>
        <v>2.67</v>
      </c>
      <c r="J26" s="2" t="s">
        <v>101</v>
      </c>
      <c r="K26" s="47">
        <f>IFERROR(F26/D25,"")</f>
        <v>0.66749999999999998</v>
      </c>
      <c r="L26" s="129" t="str">
        <f>IF(K26&lt;=2,"N/A",IF(AND(K26&lt;3.5,K26&gt;2),IF($L$24="2bs/h",(2*D25)/F26,1.25-(0.125*K26)),""))</f>
        <v>N/A</v>
      </c>
      <c r="N26" s="204"/>
      <c r="U26" s="2"/>
      <c r="V26" s="60"/>
      <c r="Y26" s="2"/>
      <c r="Z26" s="60"/>
    </row>
    <row r="27" spans="1:26" ht="15" customHeight="1" x14ac:dyDescent="0.35">
      <c r="A27" s="204"/>
      <c r="C27" s="2" t="s">
        <v>102</v>
      </c>
      <c r="D27" s="119">
        <v>3.5</v>
      </c>
      <c r="E27" s="2" t="s">
        <v>103</v>
      </c>
      <c r="F27" s="121">
        <v>4</v>
      </c>
      <c r="G27" s="2" t="s">
        <v>104</v>
      </c>
      <c r="H27" s="63">
        <f>IF(F27="","",F27)</f>
        <v>4</v>
      </c>
      <c r="J27" s="2" t="s">
        <v>105</v>
      </c>
      <c r="K27" s="47">
        <f>IFERROR(F26/D26,"")</f>
        <v>0.66749999999999998</v>
      </c>
      <c r="L27" s="129" t="str">
        <f>IF(K27&lt;=2,"N/A",IF(AND(K27&lt;3.5,K27&gt;2),IF($L$24="2bs/h",(2*D26)/F26,1.25-(0.125*K27)),""))</f>
        <v>N/A</v>
      </c>
      <c r="N27" s="204"/>
      <c r="U27" s="2"/>
      <c r="V27" s="60"/>
      <c r="Y27" s="2"/>
      <c r="Z27" s="60"/>
    </row>
    <row r="28" spans="1:26" ht="15" customHeight="1" x14ac:dyDescent="0.35">
      <c r="A28" s="204"/>
      <c r="C28" s="2" t="s">
        <v>106</v>
      </c>
      <c r="D28" s="63">
        <f>IF(F25="","",SUM(F25:F27))</f>
        <v>8</v>
      </c>
      <c r="E28" s="2" t="s">
        <v>107</v>
      </c>
      <c r="F28" s="121">
        <v>6</v>
      </c>
      <c r="G28" s="2" t="s">
        <v>108</v>
      </c>
      <c r="H28" s="121">
        <v>2</v>
      </c>
      <c r="J28" s="2" t="s">
        <v>109</v>
      </c>
      <c r="K28" s="47">
        <f>IFERROR(H26/D27,"")</f>
        <v>0.76285714285714279</v>
      </c>
      <c r="L28" s="129" t="str">
        <f>IF(K28&lt;=2,"N/A",IF(AND(K28&lt;3.5,K28&gt;2),IF($L$24="2bs/h",(2*D27)/H26,1.25-(0.125*K28)),""))</f>
        <v>N/A</v>
      </c>
      <c r="N28" s="204"/>
    </row>
    <row r="29" spans="1:26" ht="15" customHeight="1" x14ac:dyDescent="0.35">
      <c r="A29" s="204"/>
      <c r="C29" s="2" t="s">
        <v>110</v>
      </c>
      <c r="D29" s="63">
        <f>IF(D25="","",D25+D26+D27+F28+H28)</f>
        <v>19.5</v>
      </c>
      <c r="J29" s="236" t="str">
        <f>IF(MAX(K26:K28)&gt;3.5,"No Good. Aspect Ratios &gt; 3.5","")</f>
        <v/>
      </c>
      <c r="K29" s="236"/>
      <c r="L29" s="236"/>
      <c r="M29" s="15"/>
      <c r="N29" s="204"/>
    </row>
    <row r="30" spans="1:26" ht="15" customHeight="1" x14ac:dyDescent="0.25">
      <c r="A30" s="204"/>
      <c r="N30" s="204"/>
    </row>
    <row r="31" spans="1:26" ht="15" customHeight="1" x14ac:dyDescent="0.25">
      <c r="A31" s="204"/>
      <c r="N31" s="204"/>
    </row>
    <row r="32" spans="1:26" ht="15" customHeight="1" x14ac:dyDescent="0.35">
      <c r="A32" s="204"/>
      <c r="C32" s="4" t="s">
        <v>111</v>
      </c>
      <c r="D32" s="4"/>
      <c r="E32" s="4"/>
      <c r="F32" s="4"/>
      <c r="G32" s="84">
        <f>IFERROR(D24*D28/D29,"")</f>
        <v>1538.4615384615386</v>
      </c>
      <c r="H32" s="32"/>
      <c r="I32" s="67" t="s">
        <v>112</v>
      </c>
      <c r="J32" s="3"/>
      <c r="K32" s="3"/>
      <c r="L32" s="3"/>
      <c r="N32" s="204"/>
    </row>
    <row r="33" spans="1:19" ht="15" customHeight="1" x14ac:dyDescent="0.25">
      <c r="A33" s="204"/>
      <c r="C33" s="36" t="s">
        <v>113</v>
      </c>
      <c r="D33" s="36"/>
      <c r="E33" s="36"/>
      <c r="F33" s="36"/>
      <c r="G33" s="66"/>
      <c r="I33" s="219" t="s">
        <v>114</v>
      </c>
      <c r="J33" s="219"/>
      <c r="K33" s="219"/>
      <c r="L33" s="64">
        <f>IFERROR(((D24/D29)*(D25+G48))/D25,"")</f>
        <v>336.53846153846155</v>
      </c>
      <c r="N33" s="204"/>
    </row>
    <row r="34" spans="1:19" ht="15" customHeight="1" x14ac:dyDescent="0.35">
      <c r="A34" s="204"/>
      <c r="C34" s="219" t="s">
        <v>115</v>
      </c>
      <c r="D34" s="219"/>
      <c r="E34" s="219"/>
      <c r="F34" s="219"/>
      <c r="G34" s="65">
        <f>IF(D24=0,"",IF(OR(F25=0,F27=0),"N/A",G32/(F25+F27)))</f>
        <v>288.6419396738346</v>
      </c>
      <c r="I34" s="220" t="s">
        <v>116</v>
      </c>
      <c r="J34" s="220"/>
      <c r="K34" s="220"/>
      <c r="L34" s="64">
        <f>IFERROR(((D24/D29)*(D26+G49+G50))/D26,"")</f>
        <v>387.82051282051282</v>
      </c>
      <c r="N34" s="204"/>
    </row>
    <row r="35" spans="1:19" ht="15" customHeight="1" x14ac:dyDescent="0.35">
      <c r="A35" s="204"/>
      <c r="C35" s="220" t="s">
        <v>117</v>
      </c>
      <c r="D35" s="220"/>
      <c r="E35" s="220"/>
      <c r="F35" s="220"/>
      <c r="G35" s="65">
        <f>IF(D24=0,"",IF(OR(F25=0,F27=0),"N/A",G32/(H25+H27)))</f>
        <v>288.6419396738346</v>
      </c>
      <c r="I35" s="220" t="s">
        <v>118</v>
      </c>
      <c r="J35" s="220"/>
      <c r="K35" s="220"/>
      <c r="L35" s="64">
        <f>IFERROR(((D24/D29)*(G51+D27))/D27,"")</f>
        <v>243.58974358974362</v>
      </c>
      <c r="N35" s="204"/>
    </row>
    <row r="36" spans="1:19" ht="15" customHeight="1" x14ac:dyDescent="0.25">
      <c r="A36" s="204"/>
      <c r="C36" s="220"/>
      <c r="D36" s="220"/>
      <c r="E36" s="220"/>
      <c r="F36" s="220"/>
      <c r="G36" s="65"/>
      <c r="I36" s="220" t="s">
        <v>119</v>
      </c>
      <c r="J36" s="220"/>
      <c r="K36" s="220"/>
      <c r="L36" s="84">
        <f>IFERROR(L33*$D$25+L34*$D$26+L35*$D$27,"")</f>
        <v>3750</v>
      </c>
      <c r="M36" s="59" t="str">
        <f>IF(D24=0,"",IF(L36=D24,"OK","NO GOOD"))</f>
        <v>OK</v>
      </c>
      <c r="N36" s="204"/>
    </row>
    <row r="37" spans="1:19" ht="15" customHeight="1" x14ac:dyDescent="0.25">
      <c r="A37" s="204"/>
      <c r="C37" s="36" t="s">
        <v>120</v>
      </c>
      <c r="D37" s="36"/>
      <c r="E37" s="36"/>
      <c r="F37" s="36"/>
      <c r="G37" s="3"/>
      <c r="N37" s="204"/>
    </row>
    <row r="38" spans="1:19" ht="15" customHeight="1" x14ac:dyDescent="0.25">
      <c r="A38" s="204"/>
      <c r="F38" s="2" t="s">
        <v>121</v>
      </c>
      <c r="G38" s="84">
        <f>IFERROR(G34*F28,"")</f>
        <v>1731.8516380430076</v>
      </c>
      <c r="I38" s="67" t="s">
        <v>122</v>
      </c>
      <c r="J38" s="3"/>
      <c r="K38" s="3"/>
      <c r="L38" s="3"/>
      <c r="N38" s="204"/>
    </row>
    <row r="39" spans="1:19" ht="15" customHeight="1" x14ac:dyDescent="0.25">
      <c r="A39" s="204"/>
      <c r="F39" s="2" t="s">
        <v>123</v>
      </c>
      <c r="G39" s="84">
        <f>IFERROR(G35*H28,"")</f>
        <v>577.2838793476692</v>
      </c>
      <c r="J39" s="2"/>
      <c r="K39" s="2" t="s">
        <v>124</v>
      </c>
      <c r="L39" s="84">
        <f>IFERROR(L33*D25,"")</f>
        <v>1346.1538461538462</v>
      </c>
      <c r="N39" s="204"/>
    </row>
    <row r="40" spans="1:19" ht="15" customHeight="1" x14ac:dyDescent="0.25">
      <c r="A40" s="204"/>
      <c r="F40" s="2"/>
      <c r="G40" s="62"/>
      <c r="H40" s="32"/>
      <c r="J40" s="2"/>
      <c r="K40" s="2" t="s">
        <v>125</v>
      </c>
      <c r="L40" s="84">
        <f>IFERROR(L34*D26,"")</f>
        <v>1551.2820512820513</v>
      </c>
      <c r="N40" s="204"/>
    </row>
    <row r="41" spans="1:19" ht="15" customHeight="1" x14ac:dyDescent="0.25">
      <c r="A41" s="204"/>
      <c r="C41" s="36" t="s">
        <v>126</v>
      </c>
      <c r="D41" s="36"/>
      <c r="E41" s="36"/>
      <c r="F41" s="36"/>
      <c r="G41" s="3"/>
      <c r="H41" s="32"/>
      <c r="J41" s="2"/>
      <c r="K41" s="2" t="s">
        <v>127</v>
      </c>
      <c r="L41" s="84">
        <f>IFERROR(L35*D27,"")</f>
        <v>852.56410256410265</v>
      </c>
      <c r="N41" s="204"/>
    </row>
    <row r="42" spans="1:19" ht="15" customHeight="1" x14ac:dyDescent="0.25">
      <c r="A42" s="204"/>
      <c r="F42" s="2" t="s">
        <v>128</v>
      </c>
      <c r="G42" s="84">
        <f>IFERROR((G38*D25)/(D25+D26),"")</f>
        <v>865.9258190215038</v>
      </c>
      <c r="H42" s="32"/>
      <c r="J42" s="2"/>
      <c r="K42" s="2"/>
      <c r="L42" s="62"/>
      <c r="N42" s="204"/>
    </row>
    <row r="43" spans="1:19" ht="15" customHeight="1" x14ac:dyDescent="0.25">
      <c r="A43" s="204"/>
      <c r="F43" s="2" t="s">
        <v>129</v>
      </c>
      <c r="G43" s="84">
        <f>IFERROR(G38*D26/(D25+D26),"")</f>
        <v>865.9258190215038</v>
      </c>
      <c r="I43" s="67" t="s">
        <v>130</v>
      </c>
      <c r="J43" s="3"/>
      <c r="K43" s="3"/>
      <c r="L43" s="3"/>
      <c r="N43" s="204"/>
    </row>
    <row r="44" spans="1:19" ht="15" customHeight="1" x14ac:dyDescent="0.25">
      <c r="A44" s="204"/>
      <c r="F44" s="2" t="s">
        <v>131</v>
      </c>
      <c r="G44" s="84">
        <f>IFERROR(G39*D26/(D26+D27),"")</f>
        <v>307.88473565209023</v>
      </c>
      <c r="J44" s="2"/>
      <c r="K44" s="2" t="s">
        <v>132</v>
      </c>
      <c r="L44" s="84">
        <f>IFERROR(L39-G42,"")</f>
        <v>480.22802713234239</v>
      </c>
      <c r="N44" s="204"/>
    </row>
    <row r="45" spans="1:19" ht="15" customHeight="1" x14ac:dyDescent="0.25">
      <c r="A45" s="204"/>
      <c r="F45" s="2" t="s">
        <v>133</v>
      </c>
      <c r="G45" s="84">
        <f>IFERROR(G39*D27/(D26+D27),"")</f>
        <v>269.39914369557897</v>
      </c>
      <c r="H45" s="32"/>
      <c r="J45" s="2"/>
      <c r="K45" s="2" t="s">
        <v>134</v>
      </c>
      <c r="L45" s="84">
        <f>IFERROR(L40-G43-G44,"")</f>
        <v>377.47149660845724</v>
      </c>
      <c r="N45" s="204"/>
    </row>
    <row r="46" spans="1:19" ht="15" customHeight="1" x14ac:dyDescent="0.25">
      <c r="A46" s="204"/>
      <c r="F46" s="2"/>
      <c r="G46" s="62"/>
      <c r="H46" s="32"/>
      <c r="J46" s="2"/>
      <c r="K46" s="2" t="s">
        <v>135</v>
      </c>
      <c r="L46" s="84">
        <f>IFERROR(L41-G45,"")</f>
        <v>583.16495886852363</v>
      </c>
      <c r="N46" s="204"/>
    </row>
    <row r="47" spans="1:19" ht="15" customHeight="1" x14ac:dyDescent="0.25">
      <c r="A47" s="204"/>
      <c r="C47" s="36" t="s">
        <v>136</v>
      </c>
      <c r="D47" s="36"/>
      <c r="E47" s="36"/>
      <c r="F47" s="36"/>
      <c r="G47" s="3"/>
      <c r="H47" s="32"/>
      <c r="J47" s="2"/>
      <c r="K47" s="2"/>
      <c r="L47" s="62"/>
      <c r="N47" s="204"/>
      <c r="P47" s="1"/>
      <c r="Q47" s="1"/>
      <c r="R47" s="1"/>
      <c r="S47" s="1"/>
    </row>
    <row r="48" spans="1:19" ht="15" customHeight="1" x14ac:dyDescent="0.25">
      <c r="A48" s="204"/>
      <c r="F48" s="2" t="s">
        <v>137</v>
      </c>
      <c r="G48" s="63">
        <f>IFERROR(D25*F28/(D25+D26),"")</f>
        <v>3</v>
      </c>
      <c r="H48" s="32"/>
      <c r="I48" s="67" t="s">
        <v>138</v>
      </c>
      <c r="J48" s="3"/>
      <c r="K48" s="3"/>
      <c r="L48" s="3"/>
      <c r="N48" s="204"/>
      <c r="P48" s="1"/>
      <c r="Q48" s="1"/>
      <c r="R48" s="1"/>
      <c r="S48" s="1"/>
    </row>
    <row r="49" spans="1:23" ht="15" customHeight="1" x14ac:dyDescent="0.25">
      <c r="A49" s="204"/>
      <c r="F49" s="2" t="s">
        <v>139</v>
      </c>
      <c r="G49" s="63">
        <f>IFERROR(D26*F28/(D25+D26),"")</f>
        <v>3</v>
      </c>
      <c r="H49" s="32"/>
      <c r="J49" s="2"/>
      <c r="K49" s="2" t="s">
        <v>140</v>
      </c>
      <c r="L49" s="64">
        <f>IFERROR(L44/D25,"")</f>
        <v>120.0570067830856</v>
      </c>
      <c r="N49" s="204"/>
      <c r="V49" s="2"/>
      <c r="W49" s="1"/>
    </row>
    <row r="50" spans="1:23" ht="15" customHeight="1" x14ac:dyDescent="0.25">
      <c r="A50" s="204"/>
      <c r="F50" s="2" t="s">
        <v>141</v>
      </c>
      <c r="G50" s="63">
        <f>IFERROR(D26*H28/(D26+D27),"")</f>
        <v>1.0666666666666667</v>
      </c>
      <c r="H50" s="32"/>
      <c r="J50" s="2"/>
      <c r="K50" s="2" t="s">
        <v>142</v>
      </c>
      <c r="L50" s="64">
        <f>IFERROR(L45/D26,"")</f>
        <v>94.367874152114311</v>
      </c>
      <c r="N50" s="204"/>
    </row>
    <row r="51" spans="1:23" ht="15" customHeight="1" x14ac:dyDescent="0.25">
      <c r="A51" s="204"/>
      <c r="F51" s="2" t="s">
        <v>143</v>
      </c>
      <c r="G51" s="63">
        <f>IFERROR(D27*H28/(D26+D27),"")</f>
        <v>0.93333333333333335</v>
      </c>
      <c r="J51" s="2"/>
      <c r="K51" s="2" t="s">
        <v>144</v>
      </c>
      <c r="L51" s="64">
        <f>IFERROR(L46/D27,"")</f>
        <v>166.61855967672105</v>
      </c>
      <c r="N51" s="204"/>
    </row>
    <row r="52" spans="1:23" ht="15" customHeight="1" x14ac:dyDescent="0.25">
      <c r="A52" s="204"/>
      <c r="F52" s="2"/>
      <c r="G52" s="63"/>
      <c r="H52" s="32"/>
      <c r="N52" s="204"/>
      <c r="O52" s="1"/>
    </row>
    <row r="53" spans="1:23" ht="15" customHeight="1" x14ac:dyDescent="0.25">
      <c r="A53" s="204"/>
      <c r="H53" s="32"/>
      <c r="J53" s="69"/>
      <c r="K53" s="69"/>
      <c r="L53" s="64"/>
      <c r="N53" s="204"/>
    </row>
    <row r="54" spans="1:23" ht="15" customHeight="1" x14ac:dyDescent="0.25">
      <c r="A54" s="204"/>
      <c r="N54" s="204"/>
    </row>
    <row r="55" spans="1:23" ht="15" customHeight="1" x14ac:dyDescent="0.25">
      <c r="A55" s="204"/>
      <c r="N55" s="204"/>
    </row>
    <row r="56" spans="1:23" ht="15" customHeight="1" x14ac:dyDescent="0.25">
      <c r="A56" s="204"/>
      <c r="N56" s="204"/>
      <c r="W56" s="1"/>
    </row>
    <row r="57" spans="1:23" ht="15" customHeight="1" x14ac:dyDescent="0.25">
      <c r="A57" s="204"/>
      <c r="N57" s="204"/>
      <c r="W57" s="1"/>
    </row>
    <row r="58" spans="1:23" ht="15" customHeight="1" x14ac:dyDescent="0.25">
      <c r="A58" s="204"/>
      <c r="N58" s="204"/>
      <c r="W58" s="1"/>
    </row>
    <row r="59" spans="1:23" ht="15" customHeight="1" x14ac:dyDescent="0.25">
      <c r="A59" s="204"/>
      <c r="K59" s="2"/>
      <c r="N59" s="204"/>
      <c r="W59" s="1"/>
    </row>
    <row r="60" spans="1:23" ht="15" customHeight="1" x14ac:dyDescent="0.25">
      <c r="A60" s="204"/>
      <c r="N60" s="204"/>
    </row>
    <row r="61" spans="1:23" ht="15" customHeight="1" x14ac:dyDescent="0.25">
      <c r="A61" s="204"/>
      <c r="N61" s="204"/>
      <c r="W61" s="1"/>
    </row>
    <row r="62" spans="1:23" ht="15" customHeight="1" x14ac:dyDescent="0.25">
      <c r="A62" s="204"/>
      <c r="N62" s="204"/>
      <c r="W62" s="1"/>
    </row>
    <row r="63" spans="1:23" ht="15" customHeight="1" x14ac:dyDescent="0.25">
      <c r="A63" s="204"/>
      <c r="N63" s="204"/>
    </row>
    <row r="64" spans="1:23" ht="15" customHeight="1" x14ac:dyDescent="0.25">
      <c r="A64" s="204"/>
      <c r="N64" s="204"/>
    </row>
    <row r="65" spans="1:14" ht="15.75" customHeight="1" thickBot="1" x14ac:dyDescent="0.3">
      <c r="A65" s="204"/>
      <c r="B65" s="4" t="s">
        <v>145</v>
      </c>
      <c r="D65" s="4"/>
      <c r="E65" s="4"/>
      <c r="F65" s="4"/>
      <c r="G65" s="4"/>
      <c r="H65" s="4"/>
      <c r="I65" s="4"/>
      <c r="N65" s="204"/>
    </row>
    <row r="66" spans="1:14" ht="15" customHeight="1" x14ac:dyDescent="0.35">
      <c r="A66" s="204"/>
      <c r="B66" s="37" t="s">
        <v>146</v>
      </c>
      <c r="C66" s="38"/>
      <c r="D66" s="38"/>
      <c r="E66" s="38"/>
      <c r="F66" s="38"/>
      <c r="G66" s="38"/>
      <c r="H66" s="38"/>
      <c r="I66" s="38"/>
      <c r="J66" s="38"/>
      <c r="K66" s="40">
        <f>IFERROR($L$49*($F$25+$F$27),"")</f>
        <v>639.90384615384619</v>
      </c>
      <c r="L66" s="40">
        <f>IFERROR($L$33*($F$26),"")</f>
        <v>898.55769230769226</v>
      </c>
      <c r="M66" s="85">
        <f>IFERROR(L66+K66,"")</f>
        <v>1538.4615384615386</v>
      </c>
      <c r="N66" s="204"/>
    </row>
    <row r="67" spans="1:14" ht="15" customHeight="1" x14ac:dyDescent="0.35">
      <c r="A67" s="204"/>
      <c r="B67" s="39" t="s">
        <v>147</v>
      </c>
      <c r="J67" s="19">
        <f>IFERROR($G$34*($F$25+$F$27),"")</f>
        <v>1538.4615384615383</v>
      </c>
      <c r="K67" s="19">
        <f>IFERROR($L$49*($F$25+$F$27),"")</f>
        <v>639.90384615384619</v>
      </c>
      <c r="L67" s="19">
        <f>IFERROR($L$33*$F$26,"")</f>
        <v>898.55769230769226</v>
      </c>
      <c r="M67" s="68">
        <f>IFERROR(J67-K67-L67,"")</f>
        <v>-1.1368683772161603E-13</v>
      </c>
      <c r="N67" s="204"/>
    </row>
    <row r="68" spans="1:14" ht="15" customHeight="1" x14ac:dyDescent="0.35">
      <c r="A68" s="204"/>
      <c r="B68" s="39" t="s">
        <v>148</v>
      </c>
      <c r="I68" s="19"/>
      <c r="J68" s="19">
        <f>IFERROR($L$50*($F$25+$F$27),"")</f>
        <v>502.98076923076928</v>
      </c>
      <c r="K68" s="19">
        <f>IFERROR($L$34*($F$26),"")</f>
        <v>1035.4807692307693</v>
      </c>
      <c r="L68" s="19">
        <f>IFERROR($G$34*($F$25+$F$27),"")</f>
        <v>1538.4615384615383</v>
      </c>
      <c r="M68" s="68">
        <f>IFERROR(J68+K68-L68,"")</f>
        <v>2.2737367544323206E-13</v>
      </c>
      <c r="N68" s="204"/>
    </row>
    <row r="69" spans="1:14" ht="15" customHeight="1" x14ac:dyDescent="0.35">
      <c r="A69" s="204"/>
      <c r="B69" s="39" t="s">
        <v>149</v>
      </c>
      <c r="I69" s="19"/>
      <c r="J69" s="19">
        <f>IFERROR($G$35*($H$25+$H$27),"")</f>
        <v>1538.4615384615383</v>
      </c>
      <c r="K69" s="19">
        <f>IFERROR($L$34*($H$26),"")</f>
        <v>1035.4807692307693</v>
      </c>
      <c r="L69" s="19">
        <f>IFERROR($L$50*($H$25+$H$27),"")</f>
        <v>502.98076923076928</v>
      </c>
      <c r="M69" s="68">
        <f>IFERROR(I69+J69-K69-L69,"")</f>
        <v>-2.2737367544323206E-13</v>
      </c>
      <c r="N69" s="204"/>
    </row>
    <row r="70" spans="1:14" ht="15" customHeight="1" x14ac:dyDescent="0.35">
      <c r="A70" s="204"/>
      <c r="B70" s="39" t="s">
        <v>150</v>
      </c>
      <c r="J70" s="19">
        <f>IFERROR($G$35*($H$25+$H$27),"")</f>
        <v>1538.4615384615383</v>
      </c>
      <c r="K70" s="19">
        <f>IFERROR($L$51*($H$25+$H$27),"")</f>
        <v>888.07692307692321</v>
      </c>
      <c r="L70" s="19">
        <f>IFERROR($L$35*$H$26,"")</f>
        <v>650.38461538461547</v>
      </c>
      <c r="M70" s="68">
        <f>IFERROR(J70-K70-L70,"")</f>
        <v>-3.4106051316484809E-13</v>
      </c>
      <c r="N70" s="204"/>
    </row>
    <row r="71" spans="1:14" ht="15.75" customHeight="1" thickBot="1" x14ac:dyDescent="0.4">
      <c r="A71" s="204"/>
      <c r="B71" s="7" t="s">
        <v>151</v>
      </c>
      <c r="C71" s="6"/>
      <c r="D71" s="6"/>
      <c r="E71" s="6"/>
      <c r="F71" s="6"/>
      <c r="G71" s="6"/>
      <c r="H71" s="6"/>
      <c r="I71" s="6"/>
      <c r="J71" s="6"/>
      <c r="K71" s="41">
        <f>IFERROR($L$51*($H$25+$H$27),"")</f>
        <v>888.07692307692321</v>
      </c>
      <c r="L71" s="41">
        <f>IFERROR($L$35*$H$26,"")</f>
        <v>650.38461538461547</v>
      </c>
      <c r="M71" s="86">
        <f>IFERROR(K71+L71,"")</f>
        <v>1538.4615384615386</v>
      </c>
      <c r="N71" s="204"/>
    </row>
    <row r="72" spans="1:14" ht="21.75" customHeight="1" thickBot="1" x14ac:dyDescent="0.4">
      <c r="A72" s="204"/>
      <c r="B72" s="221" t="s">
        <v>152</v>
      </c>
      <c r="C72" s="221"/>
      <c r="D72" s="221"/>
      <c r="E72" s="221"/>
      <c r="F72" s="221"/>
      <c r="G72" s="221"/>
      <c r="H72" s="221"/>
      <c r="I72" s="221"/>
      <c r="J72" s="221"/>
      <c r="K72" s="221"/>
      <c r="L72" s="221"/>
      <c r="M72" s="221"/>
      <c r="N72" s="204"/>
    </row>
    <row r="73" spans="1:14" ht="15" customHeight="1" x14ac:dyDescent="0.25">
      <c r="A73" s="204"/>
      <c r="B73" s="222" t="s">
        <v>153</v>
      </c>
      <c r="C73" s="222"/>
      <c r="D73" s="222"/>
      <c r="E73" s="105">
        <f>IFERROR(IF(G34="N/A","N/A",MAX(IF(L26="N/A",L33,L33*(1/L26)),IF(L27="N/A",L34,L34*(1/L27)),IF(L28="N/A",L35,L35*(1/L28)),G34:G35)),"")</f>
        <v>387.82051282051282</v>
      </c>
      <c r="F73" s="222" t="s">
        <v>154</v>
      </c>
      <c r="G73" s="222"/>
      <c r="H73" s="223"/>
      <c r="I73" s="92">
        <f>IFERROR(L122,"")</f>
        <v>0.32902684881582944</v>
      </c>
      <c r="J73" s="232" t="s">
        <v>155</v>
      </c>
      <c r="K73" s="222"/>
      <c r="L73" s="223"/>
      <c r="M73" s="93">
        <f>IFERROR(J151,"")</f>
        <v>0.36192271381499991</v>
      </c>
      <c r="N73" s="204"/>
    </row>
    <row r="74" spans="1:14" ht="15.75" customHeight="1" thickBot="1" x14ac:dyDescent="0.3">
      <c r="A74" s="204"/>
      <c r="B74" s="222" t="s">
        <v>156</v>
      </c>
      <c r="C74" s="222"/>
      <c r="D74" s="222"/>
      <c r="E74" s="87">
        <f>IF(G42="","",MAX(G42:G45))</f>
        <v>865.9258190215038</v>
      </c>
      <c r="F74" s="222" t="s">
        <v>157</v>
      </c>
      <c r="G74" s="222"/>
      <c r="H74" s="223"/>
      <c r="I74" s="71">
        <f>IFERROR(L123,"")</f>
        <v>1.3709452033992894E-2</v>
      </c>
      <c r="J74" s="222" t="s">
        <v>158</v>
      </c>
      <c r="K74" s="222"/>
      <c r="L74" s="223"/>
      <c r="M74" s="71">
        <f>IFERROR(J152,"")</f>
        <v>1.5080113075624997E-2</v>
      </c>
      <c r="N74" s="204"/>
    </row>
    <row r="75" spans="1:14" ht="15.75" customHeight="1" x14ac:dyDescent="0.25">
      <c r="A75" s="204"/>
      <c r="B75" s="222" t="s">
        <v>159</v>
      </c>
      <c r="C75" s="222"/>
      <c r="D75" s="222"/>
      <c r="E75" s="127">
        <f>G32</f>
        <v>1538.4615384615386</v>
      </c>
      <c r="I75" s="80"/>
      <c r="J75" s="80"/>
      <c r="K75" s="81"/>
      <c r="L75" s="81"/>
      <c r="M75" s="79"/>
      <c r="N75" s="204"/>
    </row>
    <row r="76" spans="1:14" ht="15" customHeight="1" thickBot="1" x14ac:dyDescent="0.3">
      <c r="A76" s="204"/>
      <c r="B76" s="224" t="s">
        <v>160</v>
      </c>
      <c r="C76" s="224"/>
      <c r="D76" s="224"/>
      <c r="E76" s="128">
        <f>IFERROR(D24/D29,"")</f>
        <v>192.30769230769232</v>
      </c>
      <c r="G76" s="225" t="str">
        <f>IF(E73="","",IF(E73&gt;MAX(G34:G35,L33:L35),"Req. Sheathing Capacity has been adjusted per the Aspect Ratio Factor in SDPWS 4.3.4.2",""))</f>
        <v/>
      </c>
      <c r="H76" s="225"/>
      <c r="I76" s="225"/>
      <c r="J76" s="225"/>
      <c r="K76" s="225"/>
      <c r="L76" s="225"/>
      <c r="M76" s="225"/>
      <c r="N76" s="204"/>
    </row>
    <row r="77" spans="1:14" ht="15" customHeight="1" x14ac:dyDescent="0.25">
      <c r="A77" s="204"/>
      <c r="B77" s="20"/>
      <c r="N77" s="204"/>
    </row>
    <row r="78" spans="1:14" ht="15" customHeight="1" x14ac:dyDescent="0.25">
      <c r="A78" s="204"/>
      <c r="B78" s="134"/>
      <c r="F78" s="216" t="s">
        <v>161</v>
      </c>
      <c r="G78" s="216"/>
      <c r="H78" s="216"/>
      <c r="I78" s="216"/>
      <c r="J78" s="216"/>
      <c r="K78" s="216"/>
      <c r="N78" s="204"/>
    </row>
    <row r="79" spans="1:14" ht="15" customHeight="1" x14ac:dyDescent="0.25">
      <c r="A79" s="204"/>
      <c r="B79" s="134"/>
      <c r="N79" s="204"/>
    </row>
    <row r="80" spans="1:14" ht="15.75" customHeight="1" thickBot="1" x14ac:dyDescent="0.3">
      <c r="A80" s="204"/>
      <c r="B80" s="225" t="s">
        <v>162</v>
      </c>
      <c r="C80" s="225"/>
      <c r="D80" s="225"/>
      <c r="E80" s="225"/>
      <c r="F80" s="6"/>
      <c r="G80" s="6"/>
      <c r="H80" s="6"/>
      <c r="I80" s="6"/>
      <c r="J80" s="6"/>
      <c r="K80" s="6"/>
      <c r="L80" s="6"/>
      <c r="M80" s="6"/>
      <c r="N80" s="204"/>
    </row>
    <row r="81" spans="1:15" ht="15.75" customHeight="1" x14ac:dyDescent="0.35">
      <c r="A81" s="204"/>
      <c r="B81" s="237" t="s">
        <v>163</v>
      </c>
      <c r="C81" s="237"/>
      <c r="D81" s="237"/>
      <c r="E81" s="189">
        <v>5357</v>
      </c>
      <c r="F81" s="188" t="s">
        <v>164</v>
      </c>
      <c r="G81" s="226" t="s">
        <v>165</v>
      </c>
      <c r="H81" s="227"/>
      <c r="I81" s="227"/>
      <c r="J81" s="227"/>
      <c r="K81" s="227"/>
      <c r="L81" s="227"/>
      <c r="M81" s="227"/>
      <c r="N81" s="204"/>
    </row>
    <row r="82" spans="1:15" ht="15.75" customHeight="1" x14ac:dyDescent="0.25">
      <c r="A82" s="204"/>
      <c r="B82" s="59"/>
      <c r="C82" s="59"/>
      <c r="D82" s="59"/>
      <c r="E82" s="59"/>
      <c r="F82" s="112"/>
      <c r="G82" s="228"/>
      <c r="H82" s="228"/>
      <c r="I82" s="228"/>
      <c r="J82" s="228"/>
      <c r="K82" s="228"/>
      <c r="L82" s="228"/>
      <c r="M82" s="228"/>
      <c r="N82" s="204"/>
    </row>
    <row r="83" spans="1:15" ht="15" customHeight="1" x14ac:dyDescent="0.25">
      <c r="A83" s="204"/>
      <c r="B83" s="236"/>
      <c r="C83" s="236"/>
      <c r="F83" s="241" t="s">
        <v>166</v>
      </c>
      <c r="G83" s="241"/>
      <c r="H83" s="241"/>
      <c r="J83" s="43" t="s">
        <v>167</v>
      </c>
      <c r="K83" s="123" t="s">
        <v>168</v>
      </c>
      <c r="L83" t="s">
        <v>169</v>
      </c>
      <c r="N83" s="204"/>
    </row>
    <row r="84" spans="1:15" ht="15" customHeight="1" x14ac:dyDescent="0.25">
      <c r="A84" s="204"/>
      <c r="B84" s="175" t="s">
        <v>170</v>
      </c>
      <c r="C84" s="246" t="s">
        <v>171</v>
      </c>
      <c r="D84" s="247"/>
      <c r="F84" s="43" t="s">
        <v>172</v>
      </c>
      <c r="G84" s="242" t="s">
        <v>173</v>
      </c>
      <c r="H84" s="243"/>
      <c r="N84" s="204"/>
    </row>
    <row r="85" spans="1:15" ht="15" customHeight="1" x14ac:dyDescent="0.25">
      <c r="A85" s="204"/>
      <c r="B85" s="177" t="s">
        <v>174</v>
      </c>
      <c r="C85" s="248" t="s">
        <v>175</v>
      </c>
      <c r="D85" s="247"/>
      <c r="F85" s="43" t="s">
        <v>176</v>
      </c>
      <c r="G85" s="122">
        <v>1600000</v>
      </c>
      <c r="H85" t="s">
        <v>177</v>
      </c>
      <c r="K85" s="15" t="s">
        <v>178</v>
      </c>
      <c r="L85" s="15" t="s">
        <v>179</v>
      </c>
      <c r="M85" s="15"/>
      <c r="N85" s="204"/>
      <c r="O85" s="15" t="s">
        <v>180</v>
      </c>
    </row>
    <row r="86" spans="1:15" ht="15" customHeight="1" x14ac:dyDescent="0.25">
      <c r="A86" s="204"/>
      <c r="B86" s="164"/>
      <c r="C86" s="164"/>
      <c r="F86" s="43"/>
      <c r="G86" s="46"/>
      <c r="H86" s="15"/>
      <c r="J86" s="43" t="s">
        <v>181</v>
      </c>
      <c r="K86" s="123">
        <v>4</v>
      </c>
      <c r="L86" s="89">
        <f>IF(K86="","",K86)</f>
        <v>4</v>
      </c>
      <c r="M86" t="s">
        <v>182</v>
      </c>
      <c r="N86" s="204"/>
      <c r="O86" s="83">
        <f>IF($K$86="","",$K$86)</f>
        <v>4</v>
      </c>
    </row>
    <row r="87" spans="1:15" ht="15" customHeight="1" x14ac:dyDescent="0.25">
      <c r="A87" s="204"/>
      <c r="B87" s="244"/>
      <c r="C87" s="244"/>
      <c r="F87" s="2"/>
      <c r="G87" s="197" t="s">
        <v>183</v>
      </c>
      <c r="H87" s="197"/>
      <c r="J87" s="43" t="s">
        <v>184</v>
      </c>
      <c r="K87" s="123">
        <v>2145</v>
      </c>
      <c r="L87" s="89">
        <f>IF(K87="","",K87)</f>
        <v>2145</v>
      </c>
      <c r="M87" t="s">
        <v>164</v>
      </c>
      <c r="N87" s="204"/>
      <c r="O87" s="131">
        <f>IF($K$87="","",$K$87)</f>
        <v>2145</v>
      </c>
    </row>
    <row r="88" spans="1:15" ht="17.25" customHeight="1" x14ac:dyDescent="0.35">
      <c r="A88" s="204"/>
      <c r="B88" s="175" t="s">
        <v>185</v>
      </c>
      <c r="C88" s="249"/>
      <c r="D88" s="250"/>
      <c r="F88" s="43"/>
      <c r="G88" s="15"/>
      <c r="J88" s="43" t="s">
        <v>186</v>
      </c>
      <c r="K88" s="123">
        <v>0.128</v>
      </c>
      <c r="L88" s="89">
        <f>IF(K88="","",K88)</f>
        <v>0.128</v>
      </c>
      <c r="M88" t="s">
        <v>182</v>
      </c>
      <c r="N88" s="204"/>
      <c r="O88" s="83">
        <f>IF($K$88="","",$K$88)</f>
        <v>0.128</v>
      </c>
    </row>
    <row r="89" spans="1:15" ht="17.25" customHeight="1" x14ac:dyDescent="0.35">
      <c r="A89" s="204"/>
      <c r="B89" s="175" t="s">
        <v>187</v>
      </c>
      <c r="C89" s="249"/>
      <c r="D89" s="250"/>
      <c r="F89" s="2" t="s">
        <v>188</v>
      </c>
      <c r="G89" s="202">
        <v>4</v>
      </c>
      <c r="N89" s="204"/>
    </row>
    <row r="90" spans="1:15" ht="15" customHeight="1" x14ac:dyDescent="0.25">
      <c r="A90" s="204"/>
      <c r="B90" s="43"/>
      <c r="C90" s="2"/>
      <c r="H90" s="15"/>
      <c r="N90" s="204"/>
    </row>
    <row r="91" spans="1:15" ht="15.75" customHeight="1" thickBot="1" x14ac:dyDescent="0.3">
      <c r="A91" s="204"/>
      <c r="B91" s="245" t="s">
        <v>189</v>
      </c>
      <c r="C91" s="245"/>
      <c r="D91" s="245"/>
      <c r="E91" s="245"/>
      <c r="F91" s="245"/>
      <c r="N91" s="204"/>
    </row>
    <row r="92" spans="1:15" ht="15" customHeight="1" x14ac:dyDescent="0.25">
      <c r="A92" s="204"/>
      <c r="N92" s="204"/>
    </row>
    <row r="93" spans="1:15" ht="15" customHeight="1" x14ac:dyDescent="0.25">
      <c r="A93" s="204"/>
      <c r="N93" s="204"/>
    </row>
    <row r="94" spans="1:15" ht="15" customHeight="1" x14ac:dyDescent="0.25">
      <c r="A94" s="204"/>
      <c r="N94" s="204"/>
    </row>
    <row r="95" spans="1:15" ht="15.75" customHeight="1" thickBot="1" x14ac:dyDescent="0.3">
      <c r="A95" s="204"/>
      <c r="C95" s="51" t="s">
        <v>190</v>
      </c>
      <c r="D95" s="52" t="s">
        <v>191</v>
      </c>
      <c r="E95" s="51" t="s">
        <v>192</v>
      </c>
      <c r="F95" s="52" t="s">
        <v>193</v>
      </c>
      <c r="G95" s="51" t="s">
        <v>194</v>
      </c>
      <c r="H95" s="52" t="s">
        <v>195</v>
      </c>
      <c r="I95" s="15"/>
      <c r="J95" s="69" t="s">
        <v>170</v>
      </c>
      <c r="K95" t="str">
        <f>IF(OR($C$84="",$C$85=""),"",$C$84&amp;" "&amp;$C$85)</f>
        <v>15/32 OSB APA Rated Sheathing</v>
      </c>
      <c r="N95" s="204"/>
    </row>
    <row r="96" spans="1:15" ht="18" customHeight="1" thickTop="1" x14ac:dyDescent="0.35">
      <c r="A96" s="204"/>
      <c r="B96" s="2" t="s">
        <v>196</v>
      </c>
      <c r="C96" s="44">
        <f>IF(E81="","",IFERROR(((E81/D29)*(D25+G48))/D25,""))</f>
        <v>480.75641025641028</v>
      </c>
      <c r="D96" s="25">
        <f>C96</f>
        <v>480.75641025641028</v>
      </c>
      <c r="E96" s="44">
        <f>IF(E81="","",IFERROR(((E81/D29)*(D26+G49+G50))/D26,""))</f>
        <v>554.01452991452993</v>
      </c>
      <c r="F96" s="25">
        <f>E96</f>
        <v>554.01452991452993</v>
      </c>
      <c r="G96" s="44">
        <f>IF(E81="","",IFERROR(((E81/D29)*(G51+D27))/D27,""))</f>
        <v>347.97606837606838</v>
      </c>
      <c r="H96" s="25">
        <f>G96</f>
        <v>347.97606837606838</v>
      </c>
      <c r="I96" s="32" t="s">
        <v>197</v>
      </c>
      <c r="J96" s="158" t="s">
        <v>167</v>
      </c>
      <c r="K96" t="str">
        <f>IF($K$83="","",$K$83)</f>
        <v>8d common</v>
      </c>
      <c r="N96" s="204"/>
    </row>
    <row r="97" spans="1:14" ht="15" customHeight="1" x14ac:dyDescent="0.25">
      <c r="A97" s="204"/>
      <c r="B97" s="2" t="s">
        <v>176</v>
      </c>
      <c r="C97" s="28">
        <f>IF($G$85="","",$G$85)</f>
        <v>1600000</v>
      </c>
      <c r="D97" s="22">
        <f t="shared" ref="D97:H97" si="0">IF($G$85="","",$G$85)</f>
        <v>1600000</v>
      </c>
      <c r="E97" s="28">
        <f t="shared" si="0"/>
        <v>1600000</v>
      </c>
      <c r="F97" s="22">
        <f t="shared" si="0"/>
        <v>1600000</v>
      </c>
      <c r="G97" s="28">
        <f t="shared" si="0"/>
        <v>1600000</v>
      </c>
      <c r="H97" s="22">
        <f t="shared" si="0"/>
        <v>1600000</v>
      </c>
      <c r="I97" s="32" t="s">
        <v>177</v>
      </c>
      <c r="J97" s="46"/>
      <c r="N97" s="204"/>
    </row>
    <row r="98" spans="1:14" ht="15" customHeight="1" x14ac:dyDescent="0.25">
      <c r="A98" s="204"/>
      <c r="B98" s="2" t="s">
        <v>198</v>
      </c>
      <c r="C98" s="29">
        <f>IF(D28="","",D28)</f>
        <v>8</v>
      </c>
      <c r="D98" s="23">
        <f>IF(D28="","",D28-F27)</f>
        <v>4</v>
      </c>
      <c r="E98" s="29">
        <f>$D$98</f>
        <v>4</v>
      </c>
      <c r="F98" s="23">
        <f>$D$98</f>
        <v>4</v>
      </c>
      <c r="G98" s="29">
        <f>$D$98</f>
        <v>4</v>
      </c>
      <c r="H98" s="23">
        <f>C98</f>
        <v>8</v>
      </c>
      <c r="I98" s="32" t="s">
        <v>199</v>
      </c>
      <c r="J98" s="47"/>
      <c r="N98" s="204"/>
    </row>
    <row r="99" spans="1:14" x14ac:dyDescent="0.25">
      <c r="A99" s="204"/>
      <c r="B99" s="2" t="s">
        <v>200</v>
      </c>
      <c r="C99" s="200">
        <v>2</v>
      </c>
      <c r="D99" s="201">
        <v>2</v>
      </c>
      <c r="E99" s="200">
        <v>2</v>
      </c>
      <c r="F99" s="201">
        <v>2</v>
      </c>
      <c r="G99" s="200">
        <v>2</v>
      </c>
      <c r="H99" s="201">
        <v>2</v>
      </c>
      <c r="J99" s="47"/>
      <c r="N99" s="204"/>
    </row>
    <row r="100" spans="1:14" x14ac:dyDescent="0.25">
      <c r="A100" s="204"/>
      <c r="B100" s="2" t="s">
        <v>201</v>
      </c>
      <c r="C100" s="193" t="s">
        <v>202</v>
      </c>
      <c r="D100" s="194" t="s">
        <v>202</v>
      </c>
      <c r="E100" s="193" t="s">
        <v>202</v>
      </c>
      <c r="F100" s="194" t="s">
        <v>202</v>
      </c>
      <c r="G100" s="193" t="s">
        <v>202</v>
      </c>
      <c r="H100" s="194" t="s">
        <v>202</v>
      </c>
      <c r="J100" s="47"/>
      <c r="N100" s="204"/>
    </row>
    <row r="101" spans="1:14" ht="17.25" x14ac:dyDescent="0.25">
      <c r="A101" s="204"/>
      <c r="B101" s="2" t="s">
        <v>203</v>
      </c>
      <c r="C101" s="195"/>
      <c r="D101" s="196"/>
      <c r="E101" s="195"/>
      <c r="F101" s="196"/>
      <c r="G101" s="195"/>
      <c r="H101" s="196"/>
      <c r="I101" s="32" t="s">
        <v>204</v>
      </c>
      <c r="J101" s="47"/>
      <c r="N101" s="204"/>
    </row>
    <row r="102" spans="1:14" ht="17.25" customHeight="1" x14ac:dyDescent="0.25">
      <c r="A102" s="204"/>
      <c r="B102" s="2" t="s">
        <v>205</v>
      </c>
      <c r="C102" s="30">
        <f>IF($C$101="",IFERROR(VLOOKUP(C100,Table2[],2,FALSE)*C99,""),$C$101)</f>
        <v>16.5</v>
      </c>
      <c r="D102" s="21">
        <f>IF($C$101="",IFERROR(VLOOKUP(D100,Table2[],2,FALSE)*D99,""),$C$101)</f>
        <v>16.5</v>
      </c>
      <c r="E102" s="30">
        <f>IF($C$101="",IFERROR(VLOOKUP(E100,Table2[],2,FALSE)*E99,""),$C$101)</f>
        <v>16.5</v>
      </c>
      <c r="F102" s="21">
        <f>IF($C$101="",IFERROR(VLOOKUP(F100,Table2[],2,FALSE)*F99,""),$C$101)</f>
        <v>16.5</v>
      </c>
      <c r="G102" s="30">
        <f>IF($C$101="",IFERROR(VLOOKUP(G100,Table2[],2,FALSE)*G99,""),$C$101)</f>
        <v>16.5</v>
      </c>
      <c r="H102" s="21">
        <f>IF($C$101="",IFERROR(VLOOKUP(H100,Table2[],2,FALSE)*H99,""),$C$101)</f>
        <v>16.5</v>
      </c>
      <c r="I102" s="32" t="s">
        <v>204</v>
      </c>
      <c r="J102" s="15"/>
      <c r="N102" s="204"/>
    </row>
    <row r="103" spans="1:14" ht="15" customHeight="1" x14ac:dyDescent="0.35">
      <c r="A103" s="204"/>
      <c r="B103" s="2" t="s">
        <v>206</v>
      </c>
      <c r="C103" s="31">
        <f>IF($C$88&lt;&gt;"",$C$88,IF(OR(C84="",C85=""),"",(IF($C$84="Other Material",0,(VLOOKUP(C84&amp;C85,Table25,3,FALSE))))))</f>
        <v>83500</v>
      </c>
      <c r="D103" s="48">
        <f>$C$103</f>
        <v>83500</v>
      </c>
      <c r="E103" s="31">
        <f>$C$103</f>
        <v>83500</v>
      </c>
      <c r="F103" s="48">
        <f>$C$103</f>
        <v>83500</v>
      </c>
      <c r="G103" s="31">
        <f>$C$103</f>
        <v>83500</v>
      </c>
      <c r="H103" s="24">
        <f>$C$103</f>
        <v>83500</v>
      </c>
      <c r="I103" s="32" t="s">
        <v>207</v>
      </c>
      <c r="J103" s="48"/>
      <c r="N103" s="204"/>
    </row>
    <row r="104" spans="1:14" ht="15" customHeight="1" x14ac:dyDescent="0.25">
      <c r="A104" s="204"/>
      <c r="B104" s="2" t="s">
        <v>181</v>
      </c>
      <c r="C104" s="30">
        <f>IF(K86="","",K86)</f>
        <v>4</v>
      </c>
      <c r="D104" s="21">
        <f>C104</f>
        <v>4</v>
      </c>
      <c r="E104" s="30">
        <f>IF($O$86="","",$O$86)</f>
        <v>4</v>
      </c>
      <c r="F104" s="21">
        <f>E104</f>
        <v>4</v>
      </c>
      <c r="G104" s="30">
        <f>IF(L86="","",L86)</f>
        <v>4</v>
      </c>
      <c r="H104" s="21">
        <f>G104</f>
        <v>4</v>
      </c>
      <c r="I104" s="32" t="s">
        <v>182</v>
      </c>
      <c r="J104" s="15"/>
      <c r="N104" s="204"/>
    </row>
    <row r="105" spans="1:14" ht="15" customHeight="1" x14ac:dyDescent="0.35">
      <c r="A105" s="204"/>
      <c r="B105" s="2" t="s">
        <v>208</v>
      </c>
      <c r="C105" s="44">
        <f t="shared" ref="C105:H105" si="1">IFERROR(C96/(12/C104),"")</f>
        <v>160.25213675213675</v>
      </c>
      <c r="D105" s="25">
        <f t="shared" si="1"/>
        <v>160.25213675213675</v>
      </c>
      <c r="E105" s="44">
        <f t="shared" si="1"/>
        <v>184.67150997150998</v>
      </c>
      <c r="F105" s="25">
        <f t="shared" si="1"/>
        <v>184.67150997150998</v>
      </c>
      <c r="G105" s="44">
        <f t="shared" si="1"/>
        <v>115.99202279202279</v>
      </c>
      <c r="H105" s="25">
        <f t="shared" si="1"/>
        <v>115.99202279202279</v>
      </c>
      <c r="I105" s="32" t="s">
        <v>197</v>
      </c>
      <c r="J105" s="19"/>
      <c r="N105" s="204"/>
    </row>
    <row r="106" spans="1:14" ht="15" customHeight="1" x14ac:dyDescent="0.35">
      <c r="A106" s="204"/>
      <c r="B106" s="2" t="s">
        <v>209</v>
      </c>
      <c r="C106" s="45">
        <f>IF(OR(K83="",C85="",E81="",C105=""),"",(VLOOKUP(K83&amp;C85,FastenerSlip,7,FALSE)*((C105/VLOOKUP(K83&amp;C85,FastenerSlip,3,FALSE))^VLOOKUP(K83&amp;C85,FastenerSlip,5,FALSE))))</f>
        <v>2.0621707029540342E-2</v>
      </c>
      <c r="D106" s="26">
        <f>C106</f>
        <v>2.0621707029540342E-2</v>
      </c>
      <c r="E106" s="45">
        <f>IF(OR(K83="",C85="",E81="",E105=""),"",(VLOOKUP(K83&amp;C85,FastenerSlip,7,FALSE)*((E105/VLOOKUP(K83&amp;C85,FastenerSlip,3,FALSE))^VLOOKUP(K83&amp;C85,FastenerSlip,5,FALSE))))</f>
        <v>3.1638913097221472E-2</v>
      </c>
      <c r="F106" s="26">
        <f>E106</f>
        <v>3.1638913097221472E-2</v>
      </c>
      <c r="G106" s="45">
        <f>IF(OR(K83="",C85="",E81="",G105=""),"",(VLOOKUP(K83&amp;C85,FastenerSlip,7,FALSE)*((G105/VLOOKUP(K83&amp;C85,FastenerSlip,3,FALSE))^VLOOKUP(K83&amp;C85,FastenerSlip,5,FALSE))))</f>
        <v>7.7744688802397913E-3</v>
      </c>
      <c r="H106" s="26">
        <f>G106</f>
        <v>7.7744688802397913E-3</v>
      </c>
      <c r="I106" s="32" t="s">
        <v>182</v>
      </c>
      <c r="J106" s="49"/>
      <c r="N106" s="204"/>
    </row>
    <row r="107" spans="1:14" ht="15" customHeight="1" x14ac:dyDescent="0.25">
      <c r="A107" s="204"/>
      <c r="B107" s="2" t="s">
        <v>210</v>
      </c>
      <c r="C107" s="29">
        <f>IF(D25="","",D25)</f>
        <v>4</v>
      </c>
      <c r="D107" s="23">
        <f>C107</f>
        <v>4</v>
      </c>
      <c r="E107" s="29">
        <f>IF(D26="","",D26)</f>
        <v>4</v>
      </c>
      <c r="F107" s="23">
        <f>E107</f>
        <v>4</v>
      </c>
      <c r="G107" s="29">
        <f>IF(D27="","",D27)</f>
        <v>3.5</v>
      </c>
      <c r="H107" s="23">
        <f>G107</f>
        <v>3.5</v>
      </c>
      <c r="I107" s="32" t="s">
        <v>199</v>
      </c>
      <c r="J107" s="47"/>
      <c r="N107" s="204"/>
    </row>
    <row r="108" spans="1:14" ht="15" customHeight="1" x14ac:dyDescent="0.25">
      <c r="A108" s="204"/>
      <c r="B108" s="2" t="s">
        <v>184</v>
      </c>
      <c r="C108" s="30">
        <f>IF(K87="","",K87)</f>
        <v>2145</v>
      </c>
      <c r="D108" s="21">
        <f>C108</f>
        <v>2145</v>
      </c>
      <c r="E108" s="30">
        <f>$O$87</f>
        <v>2145</v>
      </c>
      <c r="F108" s="21">
        <f>E108</f>
        <v>2145</v>
      </c>
      <c r="G108" s="30">
        <f>L87</f>
        <v>2145</v>
      </c>
      <c r="H108" s="21">
        <f>G108</f>
        <v>2145</v>
      </c>
      <c r="I108" s="32" t="s">
        <v>164</v>
      </c>
      <c r="J108" s="15"/>
      <c r="N108" s="204"/>
    </row>
    <row r="109" spans="1:14" ht="15" customHeight="1" x14ac:dyDescent="0.25">
      <c r="A109" s="204"/>
      <c r="B109" s="2" t="s">
        <v>211</v>
      </c>
      <c r="C109" s="50">
        <f>IF(K88="","",K88)</f>
        <v>0.128</v>
      </c>
      <c r="D109" s="27">
        <f>C109</f>
        <v>0.128</v>
      </c>
      <c r="E109" s="50">
        <f>$O$88</f>
        <v>0.128</v>
      </c>
      <c r="F109" s="27">
        <f>E109</f>
        <v>0.128</v>
      </c>
      <c r="G109" s="50">
        <f>L88</f>
        <v>0.128</v>
      </c>
      <c r="H109" s="27">
        <f>G109</f>
        <v>0.128</v>
      </c>
      <c r="I109" s="32" t="s">
        <v>182</v>
      </c>
      <c r="J109" s="15"/>
      <c r="N109" s="204"/>
    </row>
    <row r="110" spans="1:14" ht="15" customHeight="1" x14ac:dyDescent="0.25">
      <c r="A110" s="204"/>
      <c r="N110" s="204"/>
    </row>
    <row r="111" spans="1:14" ht="15.75" customHeight="1" thickBot="1" x14ac:dyDescent="0.3">
      <c r="A111" s="204"/>
      <c r="C111" s="4" t="s">
        <v>212</v>
      </c>
      <c r="N111" s="204"/>
    </row>
    <row r="112" spans="1:14" ht="15" customHeight="1" x14ac:dyDescent="0.25">
      <c r="A112" s="204"/>
      <c r="C112" s="252" t="s">
        <v>213</v>
      </c>
      <c r="D112" s="253"/>
      <c r="E112" s="253"/>
      <c r="F112" s="254"/>
      <c r="G112" s="252" t="s">
        <v>214</v>
      </c>
      <c r="H112" s="253"/>
      <c r="I112" s="253"/>
      <c r="J112" s="254"/>
      <c r="N112" s="204"/>
    </row>
    <row r="113" spans="1:14" ht="15" customHeight="1" x14ac:dyDescent="0.25">
      <c r="A113" s="204"/>
      <c r="C113" s="18" t="s">
        <v>215</v>
      </c>
      <c r="D113" s="17" t="s">
        <v>216</v>
      </c>
      <c r="E113" s="17" t="s">
        <v>217</v>
      </c>
      <c r="F113" s="16" t="s">
        <v>218</v>
      </c>
      <c r="G113" s="18" t="s">
        <v>215</v>
      </c>
      <c r="H113" s="17" t="s">
        <v>216</v>
      </c>
      <c r="I113" s="17" t="s">
        <v>217</v>
      </c>
      <c r="J113" s="16" t="s">
        <v>218</v>
      </c>
      <c r="N113" s="204"/>
    </row>
    <row r="114" spans="1:14" ht="15" customHeight="1" x14ac:dyDescent="0.25">
      <c r="A114" s="204"/>
      <c r="C114" s="14" t="s">
        <v>219</v>
      </c>
      <c r="D114" s="13" t="s">
        <v>220</v>
      </c>
      <c r="E114" s="13" t="s">
        <v>221</v>
      </c>
      <c r="F114" s="12" t="s">
        <v>222</v>
      </c>
      <c r="G114" s="14" t="s">
        <v>219</v>
      </c>
      <c r="H114" s="13" t="s">
        <v>220</v>
      </c>
      <c r="I114" s="13" t="s">
        <v>221</v>
      </c>
      <c r="J114" s="12" t="s">
        <v>223</v>
      </c>
      <c r="N114" s="204"/>
    </row>
    <row r="115" spans="1:14" ht="15.75" customHeight="1" thickBot="1" x14ac:dyDescent="0.3">
      <c r="A115" s="204"/>
      <c r="C115" s="11">
        <f>IFERROR(8*C96*C98^3/(C97*C102*C107),"")</f>
        <v>1.8647521367521368E-2</v>
      </c>
      <c r="D115" s="10">
        <f>IFERROR(C96*C98/(C103),"")</f>
        <v>4.6060494395823742E-2</v>
      </c>
      <c r="E115" s="10">
        <f>IFERROR(0.75*C98*C106,"")</f>
        <v>0.12373024217724204</v>
      </c>
      <c r="F115" s="9">
        <f>IFERROR(C109*C96*C98/C108*(C98/C107),"")</f>
        <v>0.45901591058514141</v>
      </c>
      <c r="G115" s="11">
        <f>IFERROR(8*D96*D98^3/(D97*D102*D107),"")</f>
        <v>2.330940170940171E-3</v>
      </c>
      <c r="H115" s="10">
        <f>IFERROR(D96*D98/(D103),"")</f>
        <v>2.3030247197911871E-2</v>
      </c>
      <c r="I115" s="10">
        <f>IFERROR(0.75*D98*D106,"")</f>
        <v>6.1865121088621022E-2</v>
      </c>
      <c r="J115" s="9">
        <f>IFERROR(D109*D96*D98/D108*(D98/D107),"")</f>
        <v>0.11475397764628535</v>
      </c>
      <c r="N115" s="204"/>
    </row>
    <row r="116" spans="1:14" ht="15.75" customHeight="1" thickBot="1" x14ac:dyDescent="0.3">
      <c r="A116" s="204"/>
      <c r="C116" s="7"/>
      <c r="D116" s="6"/>
      <c r="E116" s="54" t="s">
        <v>224</v>
      </c>
      <c r="F116" s="5">
        <f>IF(OR(C115="",D115="",E115="",F115=""),"",SUM(C115:F115))</f>
        <v>0.64745416852572857</v>
      </c>
      <c r="G116" s="7"/>
      <c r="H116" s="6"/>
      <c r="I116" s="54" t="s">
        <v>224</v>
      </c>
      <c r="J116" s="5">
        <f>IF(OR(G115="",H115="",I115="",J115=""),"",SUM(G115:J115))</f>
        <v>0.2019802861037584</v>
      </c>
      <c r="N116" s="204"/>
    </row>
    <row r="117" spans="1:14" ht="15" customHeight="1" x14ac:dyDescent="0.25">
      <c r="A117" s="204"/>
      <c r="C117" s="252" t="s">
        <v>225</v>
      </c>
      <c r="D117" s="253"/>
      <c r="E117" s="253"/>
      <c r="F117" s="254"/>
      <c r="G117" s="252" t="s">
        <v>226</v>
      </c>
      <c r="H117" s="253"/>
      <c r="I117" s="253"/>
      <c r="J117" s="254"/>
      <c r="N117" s="204"/>
    </row>
    <row r="118" spans="1:14" ht="15" customHeight="1" x14ac:dyDescent="0.25">
      <c r="A118" s="204"/>
      <c r="C118" s="18" t="s">
        <v>215</v>
      </c>
      <c r="D118" s="17" t="s">
        <v>216</v>
      </c>
      <c r="E118" s="17" t="s">
        <v>217</v>
      </c>
      <c r="F118" s="16" t="s">
        <v>218</v>
      </c>
      <c r="G118" s="18" t="s">
        <v>215</v>
      </c>
      <c r="H118" s="17" t="s">
        <v>216</v>
      </c>
      <c r="I118" s="17" t="s">
        <v>217</v>
      </c>
      <c r="J118" s="16" t="s">
        <v>218</v>
      </c>
      <c r="N118" s="204"/>
    </row>
    <row r="119" spans="1:14" ht="15.75" customHeight="1" thickBot="1" x14ac:dyDescent="0.3">
      <c r="A119" s="204"/>
      <c r="C119" s="14" t="s">
        <v>219</v>
      </c>
      <c r="D119" s="13" t="s">
        <v>220</v>
      </c>
      <c r="E119" s="13" t="s">
        <v>221</v>
      </c>
      <c r="F119" s="12" t="s">
        <v>222</v>
      </c>
      <c r="G119" s="14" t="s">
        <v>219</v>
      </c>
      <c r="H119" s="13" t="s">
        <v>220</v>
      </c>
      <c r="I119" s="13" t="s">
        <v>221</v>
      </c>
      <c r="J119" s="12" t="s">
        <v>223</v>
      </c>
      <c r="N119" s="204"/>
    </row>
    <row r="120" spans="1:14" ht="15.75" customHeight="1" thickBot="1" x14ac:dyDescent="0.3">
      <c r="A120" s="204"/>
      <c r="C120" s="11">
        <f>IFERROR(8*E96*E98^3/(E97*E102*E107),"")</f>
        <v>2.6861310541310543E-3</v>
      </c>
      <c r="D120" s="10">
        <f>IFERROR(E96*E98/(E103),"")</f>
        <v>2.653961819949844E-2</v>
      </c>
      <c r="E120" s="10">
        <f>IFERROR(0.75*E98*E106,"")</f>
        <v>9.4916739291664415E-2</v>
      </c>
      <c r="F120" s="9">
        <f>IFERROR(E109*E96*E98/E108*(E98/E107),"")</f>
        <v>0.13224029804952883</v>
      </c>
      <c r="G120" s="11">
        <f>IFERROR(8*F96*F98^3/(F97*F102*F107),"")</f>
        <v>2.6861310541310543E-3</v>
      </c>
      <c r="H120" s="10">
        <f>IFERROR(F96*F98/(F103),"")</f>
        <v>2.653961819949844E-2</v>
      </c>
      <c r="I120" s="10">
        <f>IFERROR(0.75*F98*F106,"")</f>
        <v>9.4916739291664415E-2</v>
      </c>
      <c r="J120" s="9">
        <f>IFERROR(F109*F96*F98/F108*(F98/F107),"")</f>
        <v>0.13224029804952883</v>
      </c>
      <c r="L120" s="55" t="s">
        <v>227</v>
      </c>
      <c r="N120" s="204"/>
    </row>
    <row r="121" spans="1:14" ht="15.75" customHeight="1" thickBot="1" x14ac:dyDescent="0.3">
      <c r="A121" s="204"/>
      <c r="C121" s="7"/>
      <c r="D121" s="6"/>
      <c r="E121" s="54" t="s">
        <v>224</v>
      </c>
      <c r="F121" s="5">
        <f>IF(OR(C120="",D120="",E120="",F120=""),"",SUM(C120:F120))</f>
        <v>0.25638278659482272</v>
      </c>
      <c r="G121" s="7"/>
      <c r="H121" s="6"/>
      <c r="I121" s="54" t="s">
        <v>224</v>
      </c>
      <c r="J121" s="5">
        <f>IF(OR(G120="",H120="",I120="",J120=""),"",SUM(G120:J120))</f>
        <v>0.25638278659482272</v>
      </c>
      <c r="L121" s="56" t="s">
        <v>228</v>
      </c>
      <c r="N121" s="204"/>
    </row>
    <row r="122" spans="1:14" ht="15" customHeight="1" x14ac:dyDescent="0.25">
      <c r="A122" s="204"/>
      <c r="C122" s="252" t="s">
        <v>229</v>
      </c>
      <c r="D122" s="253"/>
      <c r="E122" s="253"/>
      <c r="F122" s="254"/>
      <c r="G122" s="252" t="s">
        <v>230</v>
      </c>
      <c r="H122" s="253"/>
      <c r="I122" s="253"/>
      <c r="J122" s="254"/>
      <c r="L122" s="57">
        <f>IF(J116="","",AVERAGE(F116,J116,F121,J121,F126,J126))</f>
        <v>0.32902684881582944</v>
      </c>
      <c r="M122" t="s">
        <v>182</v>
      </c>
      <c r="N122" s="204"/>
    </row>
    <row r="123" spans="1:14" ht="15.75" customHeight="1" thickBot="1" x14ac:dyDescent="0.3">
      <c r="A123" s="204"/>
      <c r="C123" s="18" t="s">
        <v>215</v>
      </c>
      <c r="D123" s="17" t="s">
        <v>216</v>
      </c>
      <c r="E123" s="17" t="s">
        <v>217</v>
      </c>
      <c r="F123" s="16" t="s">
        <v>218</v>
      </c>
      <c r="G123" s="18" t="s">
        <v>215</v>
      </c>
      <c r="H123" s="17" t="s">
        <v>216</v>
      </c>
      <c r="I123" s="17" t="s">
        <v>217</v>
      </c>
      <c r="J123" s="16" t="s">
        <v>218</v>
      </c>
      <c r="L123" s="58">
        <f>IFERROR(IF(G89="",1,G89)*L122/(C98*12),"")</f>
        <v>1.3709452033992894E-2</v>
      </c>
      <c r="M123" t="s">
        <v>231</v>
      </c>
      <c r="N123" s="204"/>
    </row>
    <row r="124" spans="1:14" ht="15" customHeight="1" x14ac:dyDescent="0.25">
      <c r="A124" s="204"/>
      <c r="C124" s="14" t="s">
        <v>219</v>
      </c>
      <c r="D124" s="13" t="s">
        <v>220</v>
      </c>
      <c r="E124" s="13" t="s">
        <v>221</v>
      </c>
      <c r="F124" s="12" t="s">
        <v>222</v>
      </c>
      <c r="G124" s="14" t="s">
        <v>219</v>
      </c>
      <c r="H124" s="13" t="s">
        <v>220</v>
      </c>
      <c r="I124" s="13" t="s">
        <v>221</v>
      </c>
      <c r="J124" s="12" t="s">
        <v>223</v>
      </c>
      <c r="N124" s="204"/>
    </row>
    <row r="125" spans="1:14" ht="15.75" customHeight="1" thickBot="1" x14ac:dyDescent="0.3">
      <c r="A125" s="204"/>
      <c r="C125" s="11">
        <f>IFERROR(8*G96*G98^3/(G97*G102*G107),"")</f>
        <v>1.9281790801790803E-3</v>
      </c>
      <c r="D125" s="10">
        <f>IFERROR(G96*G98/(G103),"")</f>
        <v>1.6669512257536209E-2</v>
      </c>
      <c r="E125" s="10">
        <f>IFERROR(0.75*G98*G106,"")</f>
        <v>2.3323406640719375E-2</v>
      </c>
      <c r="F125" s="9">
        <f>IFERROR(G109*G96*G98/G108*(G98/G107),"")</f>
        <v>9.4925739331893161E-2</v>
      </c>
      <c r="G125" s="11">
        <f>IFERROR(8*H96*H98^3/(H97*H102*H107),"")</f>
        <v>1.5425432641432642E-2</v>
      </c>
      <c r="H125" s="10">
        <f>IFERROR(H96*H98/(H103),"")</f>
        <v>3.3339024515072417E-2</v>
      </c>
      <c r="I125" s="10">
        <f>IFERROR(0.75*H98*H106,"")</f>
        <v>4.664681328143875E-2</v>
      </c>
      <c r="J125" s="9">
        <f>IFERROR(H109*H96*H98/H108*(H98/H107),"")</f>
        <v>0.37970295732757264</v>
      </c>
      <c r="N125" s="204"/>
    </row>
    <row r="126" spans="1:14" ht="15.75" customHeight="1" thickBot="1" x14ac:dyDescent="0.3">
      <c r="A126" s="204"/>
      <c r="C126" s="7"/>
      <c r="D126" s="6"/>
      <c r="E126" s="54" t="s">
        <v>224</v>
      </c>
      <c r="F126" s="5">
        <f>IF(OR(C125="",D125="",E125="",F125=""),"",SUM(C125:F125))</f>
        <v>0.13684683731032782</v>
      </c>
      <c r="G126" s="7"/>
      <c r="H126" s="6"/>
      <c r="I126" s="54" t="s">
        <v>224</v>
      </c>
      <c r="J126" s="5">
        <f>IF(OR(G125="",H125="",I125="",J125=""),"",SUM(G125:J125))</f>
        <v>0.47511422776551648</v>
      </c>
      <c r="N126" s="204"/>
    </row>
    <row r="127" spans="1:14" ht="15" customHeight="1" x14ac:dyDescent="0.25">
      <c r="A127" s="204"/>
      <c r="E127" s="2"/>
      <c r="F127" s="20"/>
      <c r="I127" s="2"/>
      <c r="J127" s="20"/>
      <c r="N127" s="204"/>
    </row>
    <row r="128" spans="1:14" ht="15" customHeight="1" x14ac:dyDescent="0.25">
      <c r="A128" s="204"/>
      <c r="J128" s="53"/>
      <c r="N128" s="204"/>
    </row>
    <row r="129" spans="1:14" ht="15.75" customHeight="1" thickBot="1" x14ac:dyDescent="0.3">
      <c r="A129" s="204"/>
      <c r="B129" s="245" t="s">
        <v>232</v>
      </c>
      <c r="C129" s="245"/>
      <c r="D129" s="245"/>
      <c r="E129" s="245"/>
      <c r="F129" s="245"/>
      <c r="N129" s="204"/>
    </row>
    <row r="130" spans="1:14" ht="15" customHeight="1" x14ac:dyDescent="0.25">
      <c r="A130" s="204"/>
      <c r="N130" s="204"/>
    </row>
    <row r="131" spans="1:14" ht="15" customHeight="1" x14ac:dyDescent="0.25">
      <c r="A131" s="204"/>
      <c r="N131" s="204"/>
    </row>
    <row r="132" spans="1:14" ht="15" customHeight="1" x14ac:dyDescent="0.25">
      <c r="A132" s="204"/>
      <c r="N132" s="204"/>
    </row>
    <row r="133" spans="1:14" ht="15.75" customHeight="1" thickBot="1" x14ac:dyDescent="0.3">
      <c r="A133" s="204"/>
      <c r="C133" s="51" t="s">
        <v>190</v>
      </c>
      <c r="D133" s="52" t="s">
        <v>191</v>
      </c>
      <c r="E133" s="51" t="s">
        <v>192</v>
      </c>
      <c r="F133" s="52" t="s">
        <v>193</v>
      </c>
      <c r="G133" s="51" t="s">
        <v>194</v>
      </c>
      <c r="H133" s="52" t="s">
        <v>195</v>
      </c>
      <c r="I133" s="15"/>
      <c r="J133" s="69" t="s">
        <v>170</v>
      </c>
      <c r="K133" t="str">
        <f>IF(OR($C$84="",$C$85=""),"",$C$84&amp;" "&amp;$C$85)</f>
        <v>15/32 OSB APA Rated Sheathing</v>
      </c>
      <c r="N133" s="204"/>
    </row>
    <row r="134" spans="1:14" ht="18" customHeight="1" thickTop="1" x14ac:dyDescent="0.35">
      <c r="A134" s="204"/>
      <c r="B134" s="2" t="s">
        <v>196</v>
      </c>
      <c r="C134" s="44">
        <f>IF(E81="","",IFERROR(((E81/D29)*(D25+G48))/D25,""))</f>
        <v>480.75641025641028</v>
      </c>
      <c r="D134" s="25">
        <f>C134</f>
        <v>480.75641025641028</v>
      </c>
      <c r="E134" s="44">
        <f>IF(E81="","",IFERROR(((E81/D29)*(D26+G49+G50))/D26,""))</f>
        <v>554.01452991452993</v>
      </c>
      <c r="F134" s="25">
        <f>E134</f>
        <v>554.01452991452993</v>
      </c>
      <c r="G134" s="44">
        <f>IF(E81="","",IFERROR(((E81/D29)*(G51+D27))/D27,""))</f>
        <v>347.97606837606838</v>
      </c>
      <c r="H134" s="25">
        <f>G134</f>
        <v>347.97606837606838</v>
      </c>
      <c r="I134" s="32" t="s">
        <v>197</v>
      </c>
      <c r="J134" s="158" t="s">
        <v>167</v>
      </c>
      <c r="K134" t="str">
        <f>IF($K$83="","",$K$83)</f>
        <v>8d common</v>
      </c>
      <c r="N134" s="204"/>
    </row>
    <row r="135" spans="1:14" ht="15" customHeight="1" x14ac:dyDescent="0.25">
      <c r="A135" s="204"/>
      <c r="B135" s="2" t="s">
        <v>176</v>
      </c>
      <c r="C135" s="28">
        <f>IF($G$85="","",$G$85)</f>
        <v>1600000</v>
      </c>
      <c r="D135" s="22">
        <f t="shared" ref="D135:H135" si="2">IF($G$85="","",$G$85)</f>
        <v>1600000</v>
      </c>
      <c r="E135" s="28">
        <f t="shared" si="2"/>
        <v>1600000</v>
      </c>
      <c r="F135" s="22">
        <f t="shared" si="2"/>
        <v>1600000</v>
      </c>
      <c r="G135" s="28">
        <f t="shared" si="2"/>
        <v>1600000</v>
      </c>
      <c r="H135" s="22">
        <f t="shared" si="2"/>
        <v>1600000</v>
      </c>
      <c r="I135" s="32" t="s">
        <v>177</v>
      </c>
      <c r="J135" s="46"/>
      <c r="N135" s="204"/>
    </row>
    <row r="136" spans="1:14" ht="15" customHeight="1" x14ac:dyDescent="0.25">
      <c r="A136" s="204"/>
      <c r="B136" s="2" t="s">
        <v>198</v>
      </c>
      <c r="C136" s="29">
        <f>D28</f>
        <v>8</v>
      </c>
      <c r="D136" s="23">
        <f>IF(D28="","",D28-F27)</f>
        <v>4</v>
      </c>
      <c r="E136" s="29">
        <f>D136</f>
        <v>4</v>
      </c>
      <c r="F136" s="23">
        <f>D136</f>
        <v>4</v>
      </c>
      <c r="G136" s="29">
        <f>D136</f>
        <v>4</v>
      </c>
      <c r="H136" s="23">
        <f>C136</f>
        <v>8</v>
      </c>
      <c r="I136" s="32" t="s">
        <v>199</v>
      </c>
      <c r="J136" s="47"/>
      <c r="N136" s="204"/>
    </row>
    <row r="137" spans="1:14" ht="17.25" customHeight="1" x14ac:dyDescent="0.25">
      <c r="A137" s="204"/>
      <c r="B137" s="2" t="s">
        <v>205</v>
      </c>
      <c r="C137" s="30">
        <f>IF($G$89="",$G$88,$G$89)</f>
        <v>4</v>
      </c>
      <c r="D137" s="21">
        <f>$C$102</f>
        <v>16.5</v>
      </c>
      <c r="E137" s="30">
        <f>$C$102</f>
        <v>16.5</v>
      </c>
      <c r="F137" s="21">
        <f>$C$102</f>
        <v>16.5</v>
      </c>
      <c r="G137" s="30">
        <f>$C$102</f>
        <v>16.5</v>
      </c>
      <c r="H137" s="21">
        <f>$C$102</f>
        <v>16.5</v>
      </c>
      <c r="I137" s="32" t="s">
        <v>204</v>
      </c>
      <c r="J137" s="15"/>
      <c r="N137" s="204"/>
    </row>
    <row r="138" spans="1:14" ht="15" customHeight="1" x14ac:dyDescent="0.35">
      <c r="A138" s="204"/>
      <c r="B138" s="2" t="s">
        <v>233</v>
      </c>
      <c r="C138" s="75">
        <f>IF($C$89&lt;&gt;"",$C$89,IF(OR(C84="",C85="",K83="",K86=""),"",IF($C$84="Other Material",0,(VLOOKUP(C84&amp;C85&amp;K83&amp;K86,Table50,3,FALSE)))))</f>
        <v>19</v>
      </c>
      <c r="D138" s="76">
        <f>C138</f>
        <v>19</v>
      </c>
      <c r="E138" s="75">
        <f>C138</f>
        <v>19</v>
      </c>
      <c r="F138" s="76">
        <f>C138</f>
        <v>19</v>
      </c>
      <c r="G138" s="75">
        <f>C138</f>
        <v>19</v>
      </c>
      <c r="H138" s="76">
        <f>C138</f>
        <v>19</v>
      </c>
      <c r="I138" s="32" t="s">
        <v>234</v>
      </c>
      <c r="J138" s="48"/>
      <c r="N138" s="204"/>
    </row>
    <row r="139" spans="1:14" ht="15" customHeight="1" x14ac:dyDescent="0.25">
      <c r="A139" s="204"/>
      <c r="B139" s="2" t="s">
        <v>210</v>
      </c>
      <c r="C139" s="29">
        <f>IF(D25="","",D25)</f>
        <v>4</v>
      </c>
      <c r="D139" s="23">
        <f>C139</f>
        <v>4</v>
      </c>
      <c r="E139" s="29">
        <f>IF(D26="","",D26)</f>
        <v>4</v>
      </c>
      <c r="F139" s="23">
        <f>E139</f>
        <v>4</v>
      </c>
      <c r="G139" s="29">
        <f>IF(D27="","",D27)</f>
        <v>3.5</v>
      </c>
      <c r="H139" s="23">
        <f>G139</f>
        <v>3.5</v>
      </c>
      <c r="I139" s="32" t="s">
        <v>199</v>
      </c>
      <c r="J139" s="47"/>
      <c r="L139" s="19"/>
      <c r="M139" s="19"/>
      <c r="N139" s="204"/>
    </row>
    <row r="140" spans="1:14" ht="15" customHeight="1" x14ac:dyDescent="0.25">
      <c r="A140" s="204"/>
      <c r="B140" s="2" t="s">
        <v>184</v>
      </c>
      <c r="C140" s="30">
        <f>IF($K$87="","",$K$87)</f>
        <v>2145</v>
      </c>
      <c r="D140" s="21">
        <f>C140</f>
        <v>2145</v>
      </c>
      <c r="E140" s="30">
        <f>$O$87</f>
        <v>2145</v>
      </c>
      <c r="F140" s="21">
        <f>E140</f>
        <v>2145</v>
      </c>
      <c r="G140" s="30">
        <f>L87</f>
        <v>2145</v>
      </c>
      <c r="H140" s="21">
        <f>G140</f>
        <v>2145</v>
      </c>
      <c r="I140" s="32" t="s">
        <v>164</v>
      </c>
      <c r="J140" s="15"/>
      <c r="N140" s="204"/>
    </row>
    <row r="141" spans="1:14" ht="15" customHeight="1" x14ac:dyDescent="0.25">
      <c r="A141" s="204"/>
      <c r="B141" s="2" t="s">
        <v>211</v>
      </c>
      <c r="C141" s="50">
        <f>IF($K$88="","",$K$88)</f>
        <v>0.128</v>
      </c>
      <c r="D141" s="27">
        <f>C141</f>
        <v>0.128</v>
      </c>
      <c r="E141" s="50">
        <f>$O$88</f>
        <v>0.128</v>
      </c>
      <c r="F141" s="27">
        <f>E141</f>
        <v>0.128</v>
      </c>
      <c r="G141" s="50">
        <f>L88</f>
        <v>0.128</v>
      </c>
      <c r="H141" s="27">
        <f>G141</f>
        <v>0.128</v>
      </c>
      <c r="I141" s="32" t="s">
        <v>182</v>
      </c>
      <c r="J141" s="15"/>
      <c r="N141" s="204"/>
    </row>
    <row r="142" spans="1:14" ht="15" customHeight="1" x14ac:dyDescent="0.25">
      <c r="A142" s="204"/>
      <c r="N142" s="204"/>
    </row>
    <row r="143" spans="1:14" ht="15.75" customHeight="1" thickBot="1" x14ac:dyDescent="0.3">
      <c r="A143" s="204"/>
      <c r="C143" s="4" t="s">
        <v>212</v>
      </c>
      <c r="N143" s="204"/>
    </row>
    <row r="144" spans="1:14" ht="15" customHeight="1" x14ac:dyDescent="0.25">
      <c r="A144" s="204"/>
      <c r="C144" s="252" t="s">
        <v>213</v>
      </c>
      <c r="D144" s="253"/>
      <c r="E144" s="254"/>
      <c r="F144" s="252" t="s">
        <v>214</v>
      </c>
      <c r="G144" s="253"/>
      <c r="H144" s="254"/>
      <c r="N144" s="204"/>
    </row>
    <row r="145" spans="1:14" ht="15" customHeight="1" x14ac:dyDescent="0.25">
      <c r="A145" s="204"/>
      <c r="C145" s="18" t="s">
        <v>215</v>
      </c>
      <c r="D145" s="17" t="s">
        <v>216</v>
      </c>
      <c r="E145" s="17" t="s">
        <v>217</v>
      </c>
      <c r="F145" s="18" t="s">
        <v>215</v>
      </c>
      <c r="G145" s="17" t="s">
        <v>216</v>
      </c>
      <c r="H145" s="16" t="s">
        <v>217</v>
      </c>
      <c r="N145" s="204"/>
    </row>
    <row r="146" spans="1:14" ht="15" customHeight="1" x14ac:dyDescent="0.25">
      <c r="A146" s="204"/>
      <c r="C146" s="14" t="s">
        <v>219</v>
      </c>
      <c r="D146" s="13" t="s">
        <v>220</v>
      </c>
      <c r="E146" s="13" t="s">
        <v>221</v>
      </c>
      <c r="F146" s="14" t="s">
        <v>219</v>
      </c>
      <c r="G146" s="13" t="s">
        <v>220</v>
      </c>
      <c r="H146" s="12" t="s">
        <v>221</v>
      </c>
      <c r="N146" s="204"/>
    </row>
    <row r="147" spans="1:14" ht="15.75" customHeight="1" thickBot="1" x14ac:dyDescent="0.3">
      <c r="A147" s="204"/>
      <c r="C147" s="11">
        <f>IFERROR(8*C134*C136^3/(C135*C137*C139),"")</f>
        <v>7.6921025641025639E-2</v>
      </c>
      <c r="D147" s="10">
        <f>IFERROR(C134*C136/(C138*1000),"")</f>
        <v>0.2024237516869096</v>
      </c>
      <c r="E147" s="9">
        <f>IFERROR(C141*C134*C136/C140*(C136/C139),"")</f>
        <v>0.45901591058514141</v>
      </c>
      <c r="F147" s="11">
        <f>IFERROR(8*D134*D136^3/(D135*D137*D139),"")</f>
        <v>2.330940170940171E-3</v>
      </c>
      <c r="G147" s="10">
        <f>IFERROR(D134*D136/(D138*1000),"")</f>
        <v>0.1012118758434548</v>
      </c>
      <c r="H147" s="9">
        <f>IFERROR(D141*D134*D136/D140*(D136/D139),"")</f>
        <v>0.11475397764628535</v>
      </c>
      <c r="N147" s="204"/>
    </row>
    <row r="148" spans="1:14" ht="15.75" customHeight="1" thickBot="1" x14ac:dyDescent="0.3">
      <c r="A148" s="204"/>
      <c r="C148" s="8"/>
      <c r="D148" s="54" t="s">
        <v>224</v>
      </c>
      <c r="E148" s="5">
        <f>IF(OR(C147="",D147="",E147=""),"",SUM(C147:E147))</f>
        <v>0.73836068791307663</v>
      </c>
      <c r="F148" s="7"/>
      <c r="G148" s="54" t="s">
        <v>224</v>
      </c>
      <c r="H148" s="5">
        <f>IF(OR(F147="",G147="",H147=""),"",SUM(F147:H147))</f>
        <v>0.21829679366068033</v>
      </c>
      <c r="N148" s="204"/>
    </row>
    <row r="149" spans="1:14" ht="15" customHeight="1" x14ac:dyDescent="0.25">
      <c r="A149" s="204"/>
      <c r="C149" s="252" t="s">
        <v>225</v>
      </c>
      <c r="D149" s="253"/>
      <c r="E149" s="254"/>
      <c r="F149" s="252" t="s">
        <v>226</v>
      </c>
      <c r="G149" s="253"/>
      <c r="H149" s="254"/>
      <c r="J149" s="55" t="s">
        <v>227</v>
      </c>
      <c r="N149" s="204"/>
    </row>
    <row r="150" spans="1:14" ht="15" customHeight="1" x14ac:dyDescent="0.25">
      <c r="A150" s="204"/>
      <c r="C150" s="18" t="s">
        <v>215</v>
      </c>
      <c r="D150" s="17" t="s">
        <v>216</v>
      </c>
      <c r="E150" s="17" t="s">
        <v>217</v>
      </c>
      <c r="F150" s="18" t="s">
        <v>215</v>
      </c>
      <c r="G150" s="17" t="s">
        <v>216</v>
      </c>
      <c r="H150" s="16" t="s">
        <v>217</v>
      </c>
      <c r="J150" s="56" t="s">
        <v>228</v>
      </c>
      <c r="N150" s="204"/>
    </row>
    <row r="151" spans="1:14" ht="15" customHeight="1" x14ac:dyDescent="0.25">
      <c r="A151" s="204"/>
      <c r="C151" s="14" t="s">
        <v>219</v>
      </c>
      <c r="D151" s="13" t="s">
        <v>220</v>
      </c>
      <c r="E151" s="13" t="s">
        <v>221</v>
      </c>
      <c r="F151" s="14" t="s">
        <v>219</v>
      </c>
      <c r="G151" s="13" t="s">
        <v>220</v>
      </c>
      <c r="H151" s="12" t="s">
        <v>221</v>
      </c>
      <c r="J151" s="57">
        <f>IF(H148="","",AVERAGE(E148,H148,E153,H153,E158,H158))</f>
        <v>0.36192271381499991</v>
      </c>
      <c r="K151" t="s">
        <v>182</v>
      </c>
      <c r="N151" s="204"/>
    </row>
    <row r="152" spans="1:14" ht="15.75" customHeight="1" thickBot="1" x14ac:dyDescent="0.3">
      <c r="A152" s="204"/>
      <c r="C152" s="11">
        <f>IFERROR(8*E134*E136^3/(E135*E137*E139),"")</f>
        <v>2.6861310541310543E-3</v>
      </c>
      <c r="D152" s="10">
        <f>IFERROR(E134*E136/(E138*1000),"")</f>
        <v>0.11663463787674315</v>
      </c>
      <c r="E152" s="9">
        <f>IFERROR(E141*E134*E136/E140*(E136/E139),"")</f>
        <v>0.13224029804952883</v>
      </c>
      <c r="F152" s="11">
        <f>IFERROR(8*F134*F136^3/(F135*F137*F139),"")</f>
        <v>2.6861310541310543E-3</v>
      </c>
      <c r="G152" s="10">
        <f>IFERROR(F134*F136/(F138*1000),"")</f>
        <v>0.11663463787674315</v>
      </c>
      <c r="H152" s="9">
        <f>IFERROR(F141*F134*F136/F140*(F136/F139),"")</f>
        <v>0.13224029804952883</v>
      </c>
      <c r="J152" s="58">
        <f>IFERROR(IF(G89="",1,G89)*J151/(C136*12),"")</f>
        <v>1.5080113075624997E-2</v>
      </c>
      <c r="K152" t="s">
        <v>231</v>
      </c>
      <c r="L152" s="15"/>
      <c r="N152" s="204"/>
    </row>
    <row r="153" spans="1:14" ht="15.75" customHeight="1" thickBot="1" x14ac:dyDescent="0.3">
      <c r="A153" s="204"/>
      <c r="C153" s="8"/>
      <c r="D153" s="54" t="s">
        <v>224</v>
      </c>
      <c r="E153" s="5">
        <f>IF(OR(C152="",D152="",E152=""),"",SUM(C152:E152))</f>
        <v>0.25156106698040304</v>
      </c>
      <c r="F153" s="7"/>
      <c r="G153" s="54" t="s">
        <v>224</v>
      </c>
      <c r="H153" s="5">
        <f>IF(OR(F152="",G152="",H152=""),"",SUM(F152:H152))</f>
        <v>0.25156106698040304</v>
      </c>
      <c r="L153" s="15"/>
      <c r="N153" s="204"/>
    </row>
    <row r="154" spans="1:14" ht="15" customHeight="1" x14ac:dyDescent="0.25">
      <c r="A154" s="204"/>
      <c r="C154" s="252" t="s">
        <v>229</v>
      </c>
      <c r="D154" s="253"/>
      <c r="E154" s="254"/>
      <c r="F154" s="252" t="s">
        <v>230</v>
      </c>
      <c r="G154" s="253"/>
      <c r="H154" s="254"/>
      <c r="J154" s="47"/>
      <c r="K154" s="82"/>
      <c r="L154" s="82"/>
      <c r="M154" s="82"/>
      <c r="N154" s="204"/>
    </row>
    <row r="155" spans="1:14" ht="15" customHeight="1" x14ac:dyDescent="0.25">
      <c r="A155" s="204"/>
      <c r="C155" s="18" t="s">
        <v>215</v>
      </c>
      <c r="D155" s="17" t="s">
        <v>216</v>
      </c>
      <c r="E155" s="17" t="s">
        <v>217</v>
      </c>
      <c r="F155" s="18" t="s">
        <v>215</v>
      </c>
      <c r="G155" s="17" t="s">
        <v>216</v>
      </c>
      <c r="H155" s="16" t="s">
        <v>217</v>
      </c>
      <c r="K155" s="82"/>
      <c r="L155" s="82"/>
      <c r="M155" s="82"/>
      <c r="N155" s="204"/>
    </row>
    <row r="156" spans="1:14" ht="15" customHeight="1" x14ac:dyDescent="0.25">
      <c r="A156" s="204"/>
      <c r="C156" s="14" t="s">
        <v>219</v>
      </c>
      <c r="D156" s="13" t="s">
        <v>220</v>
      </c>
      <c r="E156" s="13" t="s">
        <v>221</v>
      </c>
      <c r="F156" s="14" t="s">
        <v>219</v>
      </c>
      <c r="G156" s="13" t="s">
        <v>220</v>
      </c>
      <c r="H156" s="12" t="s">
        <v>221</v>
      </c>
      <c r="N156" s="204"/>
    </row>
    <row r="157" spans="1:14" ht="15.75" customHeight="1" thickBot="1" x14ac:dyDescent="0.3">
      <c r="A157" s="204"/>
      <c r="C157" s="11">
        <f>IFERROR(8*G134*G136^3/(G135*G137*G139),"")</f>
        <v>1.9281790801790803E-3</v>
      </c>
      <c r="D157" s="10">
        <f>IFERROR(G134*G136/(G138*1000),"")</f>
        <v>7.3258119658119666E-2</v>
      </c>
      <c r="E157" s="9">
        <f>IFERROR(G141*G134*G136/G140*(G136/G139),"")</f>
        <v>9.4925739331893161E-2</v>
      </c>
      <c r="F157" s="11">
        <f>IFERROR(8*H134*H136^3/(H135*H137*H139),"")</f>
        <v>1.5425432641432642E-2</v>
      </c>
      <c r="G157" s="10">
        <f>IFERROR(H134*H136/(H138*1000),"")</f>
        <v>0.14651623931623933</v>
      </c>
      <c r="H157" s="9">
        <f>IFERROR(H141*H134*H136/H140*(H136/H139),"")</f>
        <v>0.37970295732757264</v>
      </c>
      <c r="N157" s="204"/>
    </row>
    <row r="158" spans="1:14" ht="15.75" customHeight="1" thickBot="1" x14ac:dyDescent="0.3">
      <c r="A158" s="204"/>
      <c r="C158" s="8"/>
      <c r="D158" s="54" t="s">
        <v>224</v>
      </c>
      <c r="E158" s="5">
        <f>IF(OR(C157="",D157="",E157=""),"",SUM(C157:E157))</f>
        <v>0.1701120380701919</v>
      </c>
      <c r="F158" s="7"/>
      <c r="G158" s="54" t="s">
        <v>224</v>
      </c>
      <c r="H158" s="5">
        <f>IF(OR(F157="",G157="",H157=""),"",SUM(F157:H157))</f>
        <v>0.54164462928524459</v>
      </c>
      <c r="N158" s="204"/>
    </row>
    <row r="159" spans="1:14" ht="15" customHeight="1" x14ac:dyDescent="0.25">
      <c r="A159" s="204"/>
      <c r="C159" s="253"/>
      <c r="D159" s="253"/>
      <c r="E159" s="253"/>
      <c r="F159" s="253"/>
      <c r="G159" s="253"/>
      <c r="H159" s="253"/>
      <c r="N159" s="204"/>
    </row>
    <row r="160" spans="1:14" ht="15" customHeight="1" x14ac:dyDescent="0.25">
      <c r="A160" s="204"/>
      <c r="B160" s="238" t="s">
        <v>235</v>
      </c>
      <c r="C160" s="239"/>
      <c r="D160" s="239"/>
      <c r="E160" s="239"/>
      <c r="F160" s="239"/>
      <c r="G160" s="239"/>
      <c r="H160" s="239"/>
      <c r="I160" s="239"/>
      <c r="J160" s="239"/>
      <c r="K160" s="239"/>
      <c r="L160" s="239"/>
      <c r="M160" s="240"/>
      <c r="N160" s="204"/>
    </row>
    <row r="161" spans="1:14" x14ac:dyDescent="0.25">
      <c r="A161" s="98"/>
      <c r="N161" s="98"/>
    </row>
    <row r="162" spans="1:14" ht="15.75" thickBot="1" x14ac:dyDescent="0.3">
      <c r="A162" s="98"/>
      <c r="B162" s="208" t="s">
        <v>76</v>
      </c>
      <c r="C162" s="208"/>
      <c r="D162" s="208"/>
      <c r="E162" s="208"/>
      <c r="F162" s="208"/>
      <c r="G162" s="208"/>
      <c r="H162" s="208"/>
      <c r="I162" s="208"/>
      <c r="J162" s="208"/>
      <c r="K162" s="208"/>
      <c r="L162" s="208"/>
      <c r="M162" s="208"/>
      <c r="N162" s="98"/>
    </row>
    <row r="163" spans="1:14" ht="15" customHeight="1" x14ac:dyDescent="0.25">
      <c r="A163" s="98"/>
      <c r="B163" s="212" t="s">
        <v>236</v>
      </c>
      <c r="C163" s="212"/>
      <c r="D163" s="212"/>
      <c r="E163" s="212"/>
      <c r="F163" s="212"/>
      <c r="G163" s="212"/>
      <c r="H163" s="212"/>
      <c r="I163" s="212"/>
      <c r="J163" s="212"/>
      <c r="K163" s="212"/>
      <c r="L163" s="212"/>
      <c r="M163" s="212"/>
      <c r="N163" s="98"/>
    </row>
    <row r="164" spans="1:14" x14ac:dyDescent="0.25">
      <c r="A164" s="98"/>
      <c r="B164" s="251"/>
      <c r="C164" s="251"/>
      <c r="D164" s="251"/>
      <c r="E164" s="251"/>
      <c r="F164" s="251"/>
      <c r="G164" s="251"/>
      <c r="H164" s="251"/>
      <c r="I164" s="251"/>
      <c r="J164" s="251"/>
      <c r="K164" s="251"/>
      <c r="L164" s="251"/>
      <c r="M164" s="251"/>
      <c r="N164" s="98"/>
    </row>
    <row r="165" spans="1:14" x14ac:dyDescent="0.25">
      <c r="A165" s="98"/>
      <c r="B165" s="251"/>
      <c r="C165" s="251"/>
      <c r="D165" s="251"/>
      <c r="E165" s="251"/>
      <c r="F165" s="251"/>
      <c r="G165" s="251"/>
      <c r="H165" s="251"/>
      <c r="I165" s="251"/>
      <c r="J165" s="251"/>
      <c r="K165" s="251"/>
      <c r="L165" s="251"/>
      <c r="M165" s="251"/>
      <c r="N165" s="98"/>
    </row>
    <row r="166" spans="1:14" x14ac:dyDescent="0.25">
      <c r="A166" s="98"/>
      <c r="B166" s="251"/>
      <c r="C166" s="251"/>
      <c r="D166" s="251"/>
      <c r="E166" s="251"/>
      <c r="F166" s="251"/>
      <c r="G166" s="251"/>
      <c r="H166" s="251"/>
      <c r="I166" s="251"/>
      <c r="J166" s="251"/>
      <c r="K166" s="251"/>
      <c r="L166" s="251"/>
      <c r="M166" s="251"/>
      <c r="N166" s="98"/>
    </row>
    <row r="167" spans="1:14" x14ac:dyDescent="0.25">
      <c r="A167" s="98"/>
      <c r="B167" s="251"/>
      <c r="C167" s="251"/>
      <c r="D167" s="251"/>
      <c r="E167" s="251"/>
      <c r="F167" s="251"/>
      <c r="G167" s="251"/>
      <c r="H167" s="251"/>
      <c r="I167" s="251"/>
      <c r="J167" s="251"/>
      <c r="K167" s="251"/>
      <c r="L167" s="251"/>
      <c r="M167" s="251"/>
      <c r="N167" s="98"/>
    </row>
    <row r="168" spans="1:14" x14ac:dyDescent="0.25">
      <c r="A168" s="98"/>
      <c r="B168" s="251"/>
      <c r="C168" s="251"/>
      <c r="D168" s="251"/>
      <c r="E168" s="251"/>
      <c r="F168" s="251"/>
      <c r="G168" s="251"/>
      <c r="H168" s="251"/>
      <c r="I168" s="251"/>
      <c r="J168" s="251"/>
      <c r="K168" s="251"/>
      <c r="L168" s="251"/>
      <c r="M168" s="251"/>
      <c r="N168" s="98"/>
    </row>
    <row r="169" spans="1:14" x14ac:dyDescent="0.25">
      <c r="A169" s="98"/>
      <c r="B169" s="251"/>
      <c r="C169" s="251"/>
      <c r="D169" s="251"/>
      <c r="E169" s="251"/>
      <c r="F169" s="251"/>
      <c r="G169" s="251"/>
      <c r="H169" s="251"/>
      <c r="I169" s="251"/>
      <c r="J169" s="251"/>
      <c r="K169" s="251"/>
      <c r="L169" s="251"/>
      <c r="M169" s="251"/>
      <c r="N169" s="98"/>
    </row>
    <row r="170" spans="1:14" x14ac:dyDescent="0.25">
      <c r="A170" s="98"/>
      <c r="B170" s="251"/>
      <c r="C170" s="251"/>
      <c r="D170" s="251"/>
      <c r="E170" s="251"/>
      <c r="F170" s="251"/>
      <c r="G170" s="251"/>
      <c r="H170" s="251"/>
      <c r="I170" s="251"/>
      <c r="J170" s="251"/>
      <c r="K170" s="251"/>
      <c r="L170" s="251"/>
      <c r="M170" s="251"/>
      <c r="N170" s="98"/>
    </row>
    <row r="171" spans="1:14" x14ac:dyDescent="0.25">
      <c r="A171" s="98"/>
      <c r="B171" s="251"/>
      <c r="C171" s="251"/>
      <c r="D171" s="251"/>
      <c r="E171" s="251"/>
      <c r="F171" s="251"/>
      <c r="G171" s="251"/>
      <c r="H171" s="251"/>
      <c r="I171" s="251"/>
      <c r="J171" s="251"/>
      <c r="K171" s="251"/>
      <c r="L171" s="251"/>
      <c r="M171" s="251"/>
      <c r="N171" s="98"/>
    </row>
    <row r="172" spans="1:14" x14ac:dyDescent="0.25">
      <c r="A172" s="98"/>
      <c r="B172" s="251"/>
      <c r="C172" s="251"/>
      <c r="D172" s="251"/>
      <c r="E172" s="251"/>
      <c r="F172" s="251"/>
      <c r="G172" s="251"/>
      <c r="H172" s="251"/>
      <c r="I172" s="251"/>
      <c r="J172" s="251"/>
      <c r="K172" s="251"/>
      <c r="L172" s="251"/>
      <c r="M172" s="251"/>
      <c r="N172" s="98"/>
    </row>
    <row r="173" spans="1:14" x14ac:dyDescent="0.25">
      <c r="A173" s="98"/>
      <c r="B173" s="251"/>
      <c r="C173" s="251"/>
      <c r="D173" s="251"/>
      <c r="E173" s="251"/>
      <c r="F173" s="251"/>
      <c r="G173" s="251"/>
      <c r="H173" s="251"/>
      <c r="I173" s="251"/>
      <c r="J173" s="251"/>
      <c r="K173" s="251"/>
      <c r="L173" s="251"/>
      <c r="M173" s="251"/>
      <c r="N173" s="98"/>
    </row>
    <row r="174" spans="1:14" x14ac:dyDescent="0.25">
      <c r="A174" s="98"/>
      <c r="B174" s="251"/>
      <c r="C174" s="251"/>
      <c r="D174" s="251"/>
      <c r="E174" s="251"/>
      <c r="F174" s="251"/>
      <c r="G174" s="251"/>
      <c r="H174" s="251"/>
      <c r="I174" s="251"/>
      <c r="J174" s="251"/>
      <c r="K174" s="251"/>
      <c r="L174" s="251"/>
      <c r="M174" s="251"/>
      <c r="N174" s="98"/>
    </row>
    <row r="175" spans="1:14" x14ac:dyDescent="0.25">
      <c r="A175" s="98"/>
      <c r="B175" s="251"/>
      <c r="C175" s="251"/>
      <c r="D175" s="251"/>
      <c r="E175" s="251"/>
      <c r="F175" s="251"/>
      <c r="G175" s="251"/>
      <c r="H175" s="251"/>
      <c r="I175" s="251"/>
      <c r="J175" s="251"/>
      <c r="K175" s="251"/>
      <c r="L175" s="251"/>
      <c r="M175" s="251"/>
      <c r="N175" s="98"/>
    </row>
    <row r="176" spans="1:14" x14ac:dyDescent="0.25">
      <c r="A176" s="98"/>
      <c r="B176" s="251"/>
      <c r="C176" s="251"/>
      <c r="D176" s="251"/>
      <c r="E176" s="251"/>
      <c r="F176" s="251"/>
      <c r="G176" s="251"/>
      <c r="H176" s="251"/>
      <c r="I176" s="251"/>
      <c r="J176" s="251"/>
      <c r="K176" s="251"/>
      <c r="L176" s="251"/>
      <c r="M176" s="251"/>
      <c r="N176" s="98"/>
    </row>
    <row r="177" spans="1:14" x14ac:dyDescent="0.25">
      <c r="A177" s="98"/>
      <c r="B177" s="251"/>
      <c r="C177" s="251"/>
      <c r="D177" s="251"/>
      <c r="E177" s="251"/>
      <c r="F177" s="251"/>
      <c r="G177" s="251"/>
      <c r="H177" s="251"/>
      <c r="I177" s="251"/>
      <c r="J177" s="251"/>
      <c r="K177" s="251"/>
      <c r="L177" s="251"/>
      <c r="M177" s="251"/>
      <c r="N177" s="98"/>
    </row>
    <row r="178" spans="1:14" x14ac:dyDescent="0.25">
      <c r="A178" s="98"/>
      <c r="B178" s="251"/>
      <c r="C178" s="251"/>
      <c r="D178" s="251"/>
      <c r="E178" s="251"/>
      <c r="F178" s="251"/>
      <c r="G178" s="251"/>
      <c r="H178" s="251"/>
      <c r="I178" s="251"/>
      <c r="J178" s="251"/>
      <c r="K178" s="251"/>
      <c r="L178" s="251"/>
      <c r="M178" s="251"/>
      <c r="N178" s="98"/>
    </row>
    <row r="179" spans="1:14" x14ac:dyDescent="0.25">
      <c r="A179" s="98"/>
      <c r="B179" s="251"/>
      <c r="C179" s="251"/>
      <c r="D179" s="251"/>
      <c r="E179" s="251"/>
      <c r="F179" s="251"/>
      <c r="G179" s="251"/>
      <c r="H179" s="251"/>
      <c r="I179" s="251"/>
      <c r="J179" s="251"/>
      <c r="K179" s="251"/>
      <c r="L179" s="251"/>
      <c r="M179" s="251"/>
      <c r="N179" s="98"/>
    </row>
    <row r="180" spans="1:14" x14ac:dyDescent="0.25">
      <c r="A180" s="98"/>
      <c r="B180" s="251"/>
      <c r="C180" s="251"/>
      <c r="D180" s="251"/>
      <c r="E180" s="251"/>
      <c r="F180" s="251"/>
      <c r="G180" s="251"/>
      <c r="H180" s="251"/>
      <c r="I180" s="251"/>
      <c r="J180" s="251"/>
      <c r="K180" s="251"/>
      <c r="L180" s="251"/>
      <c r="M180" s="251"/>
      <c r="N180" s="98"/>
    </row>
    <row r="181" spans="1:14" x14ac:dyDescent="0.25">
      <c r="A181" s="98"/>
      <c r="B181" s="251"/>
      <c r="C181" s="251"/>
      <c r="D181" s="251"/>
      <c r="E181" s="251"/>
      <c r="F181" s="251"/>
      <c r="G181" s="251"/>
      <c r="H181" s="251"/>
      <c r="I181" s="251"/>
      <c r="J181" s="251"/>
      <c r="K181" s="251"/>
      <c r="L181" s="251"/>
      <c r="M181" s="251"/>
      <c r="N181" s="98"/>
    </row>
    <row r="182" spans="1:14" x14ac:dyDescent="0.25">
      <c r="A182" s="98"/>
      <c r="B182" s="251"/>
      <c r="C182" s="251"/>
      <c r="D182" s="251"/>
      <c r="E182" s="251"/>
      <c r="F182" s="251"/>
      <c r="G182" s="251"/>
      <c r="H182" s="251"/>
      <c r="I182" s="251"/>
      <c r="J182" s="251"/>
      <c r="K182" s="251"/>
      <c r="L182" s="251"/>
      <c r="M182" s="251"/>
      <c r="N182" s="98"/>
    </row>
    <row r="183" spans="1:14" x14ac:dyDescent="0.25">
      <c r="A183" s="98"/>
      <c r="B183" s="251"/>
      <c r="C183" s="251"/>
      <c r="D183" s="251"/>
      <c r="E183" s="251"/>
      <c r="F183" s="251"/>
      <c r="G183" s="251"/>
      <c r="H183" s="251"/>
      <c r="I183" s="251"/>
      <c r="J183" s="251"/>
      <c r="K183" s="251"/>
      <c r="L183" s="251"/>
      <c r="M183" s="251"/>
      <c r="N183" s="98"/>
    </row>
    <row r="184" spans="1:14" x14ac:dyDescent="0.25">
      <c r="A184" s="98"/>
      <c r="B184" s="251"/>
      <c r="C184" s="251"/>
      <c r="D184" s="251"/>
      <c r="E184" s="251"/>
      <c r="F184" s="251"/>
      <c r="G184" s="251"/>
      <c r="H184" s="251"/>
      <c r="I184" s="251"/>
      <c r="J184" s="251"/>
      <c r="K184" s="251"/>
      <c r="L184" s="251"/>
      <c r="M184" s="251"/>
      <c r="N184" s="98"/>
    </row>
    <row r="185" spans="1:14" x14ac:dyDescent="0.25">
      <c r="A185" s="98"/>
      <c r="B185" s="251"/>
      <c r="C185" s="251"/>
      <c r="D185" s="251"/>
      <c r="E185" s="251"/>
      <c r="F185" s="251"/>
      <c r="G185" s="251"/>
      <c r="H185" s="251"/>
      <c r="I185" s="251"/>
      <c r="J185" s="251"/>
      <c r="K185" s="251"/>
      <c r="L185" s="251"/>
      <c r="M185" s="251"/>
      <c r="N185" s="98"/>
    </row>
    <row r="186" spans="1:14" x14ac:dyDescent="0.25">
      <c r="A186" s="98"/>
      <c r="B186" s="251"/>
      <c r="C186" s="251"/>
      <c r="D186" s="251"/>
      <c r="E186" s="251"/>
      <c r="F186" s="251"/>
      <c r="G186" s="251"/>
      <c r="H186" s="251"/>
      <c r="I186" s="251"/>
      <c r="J186" s="251"/>
      <c r="K186" s="251"/>
      <c r="L186" s="251"/>
      <c r="M186" s="251"/>
      <c r="N186" s="98"/>
    </row>
    <row r="187" spans="1:14" x14ac:dyDescent="0.25">
      <c r="A187" s="98"/>
      <c r="B187" s="251"/>
      <c r="C187" s="251"/>
      <c r="D187" s="251"/>
      <c r="E187" s="251"/>
      <c r="F187" s="251"/>
      <c r="G187" s="251"/>
      <c r="H187" s="251"/>
      <c r="I187" s="251"/>
      <c r="J187" s="251"/>
      <c r="K187" s="251"/>
      <c r="L187" s="251"/>
      <c r="M187" s="251"/>
      <c r="N187" s="98"/>
    </row>
    <row r="188" spans="1:14" x14ac:dyDescent="0.25">
      <c r="A188" s="98"/>
      <c r="B188" s="251"/>
      <c r="C188" s="251"/>
      <c r="D188" s="251"/>
      <c r="E188" s="251"/>
      <c r="F188" s="251"/>
      <c r="G188" s="251"/>
      <c r="H188" s="251"/>
      <c r="I188" s="251"/>
      <c r="J188" s="251"/>
      <c r="K188" s="251"/>
      <c r="L188" s="251"/>
      <c r="M188" s="251"/>
      <c r="N188" s="98"/>
    </row>
    <row r="189" spans="1:14" x14ac:dyDescent="0.25">
      <c r="A189" s="98"/>
      <c r="B189" s="251"/>
      <c r="C189" s="251"/>
      <c r="D189" s="251"/>
      <c r="E189" s="251"/>
      <c r="F189" s="251"/>
      <c r="G189" s="251"/>
      <c r="H189" s="251"/>
      <c r="I189" s="251"/>
      <c r="J189" s="251"/>
      <c r="K189" s="251"/>
      <c r="L189" s="251"/>
      <c r="M189" s="251"/>
      <c r="N189" s="98"/>
    </row>
    <row r="190" spans="1:14" x14ac:dyDescent="0.25">
      <c r="A190" s="98"/>
      <c r="B190" s="251"/>
      <c r="C190" s="251"/>
      <c r="D190" s="251"/>
      <c r="E190" s="251"/>
      <c r="F190" s="251"/>
      <c r="G190" s="251"/>
      <c r="H190" s="251"/>
      <c r="I190" s="251"/>
      <c r="J190" s="251"/>
      <c r="K190" s="251"/>
      <c r="L190" s="251"/>
      <c r="M190" s="251"/>
      <c r="N190" s="98"/>
    </row>
    <row r="191" spans="1:14" x14ac:dyDescent="0.25">
      <c r="A191" s="98"/>
      <c r="B191" s="251"/>
      <c r="C191" s="251"/>
      <c r="D191" s="251"/>
      <c r="E191" s="251"/>
      <c r="F191" s="251"/>
      <c r="G191" s="251"/>
      <c r="H191" s="251"/>
      <c r="I191" s="251"/>
      <c r="J191" s="251"/>
      <c r="K191" s="251"/>
      <c r="L191" s="251"/>
      <c r="M191" s="251"/>
      <c r="N191" s="98"/>
    </row>
    <row r="192" spans="1:14" x14ac:dyDescent="0.25">
      <c r="A192" s="98"/>
      <c r="B192" s="251"/>
      <c r="C192" s="251"/>
      <c r="D192" s="251"/>
      <c r="E192" s="251"/>
      <c r="F192" s="251"/>
      <c r="G192" s="251"/>
      <c r="H192" s="251"/>
      <c r="I192" s="251"/>
      <c r="J192" s="251"/>
      <c r="K192" s="251"/>
      <c r="L192" s="251"/>
      <c r="M192" s="251"/>
      <c r="N192" s="98"/>
    </row>
    <row r="193" spans="1:14" x14ac:dyDescent="0.25">
      <c r="A193" s="98"/>
      <c r="B193" s="251"/>
      <c r="C193" s="251"/>
      <c r="D193" s="251"/>
      <c r="E193" s="251"/>
      <c r="F193" s="251"/>
      <c r="G193" s="251"/>
      <c r="H193" s="251"/>
      <c r="I193" s="251"/>
      <c r="J193" s="251"/>
      <c r="K193" s="251"/>
      <c r="L193" s="251"/>
      <c r="M193" s="251"/>
      <c r="N193" s="98"/>
    </row>
    <row r="194" spans="1:14" x14ac:dyDescent="0.25">
      <c r="A194" s="98"/>
      <c r="B194" s="251"/>
      <c r="C194" s="251"/>
      <c r="D194" s="251"/>
      <c r="E194" s="251"/>
      <c r="F194" s="251"/>
      <c r="G194" s="251"/>
      <c r="H194" s="251"/>
      <c r="I194" s="251"/>
      <c r="J194" s="251"/>
      <c r="K194" s="251"/>
      <c r="L194" s="251"/>
      <c r="M194" s="251"/>
      <c r="N194" s="98"/>
    </row>
    <row r="195" spans="1:14" x14ac:dyDescent="0.25">
      <c r="A195" s="98"/>
      <c r="B195" s="251"/>
      <c r="C195" s="251"/>
      <c r="D195" s="251"/>
      <c r="E195" s="251"/>
      <c r="F195" s="251"/>
      <c r="G195" s="251"/>
      <c r="H195" s="251"/>
      <c r="I195" s="251"/>
      <c r="J195" s="251"/>
      <c r="K195" s="251"/>
      <c r="L195" s="251"/>
      <c r="M195" s="251"/>
      <c r="N195" s="98"/>
    </row>
    <row r="196" spans="1:14" x14ac:dyDescent="0.25">
      <c r="A196" s="98"/>
      <c r="B196" s="251"/>
      <c r="C196" s="251"/>
      <c r="D196" s="251"/>
      <c r="E196" s="251"/>
      <c r="F196" s="251"/>
      <c r="G196" s="251"/>
      <c r="H196" s="251"/>
      <c r="I196" s="251"/>
      <c r="J196" s="251"/>
      <c r="K196" s="251"/>
      <c r="L196" s="251"/>
      <c r="M196" s="251"/>
      <c r="N196" s="98"/>
    </row>
    <row r="197" spans="1:14" x14ac:dyDescent="0.25">
      <c r="A197" s="98"/>
      <c r="B197" s="213"/>
      <c r="C197" s="213"/>
      <c r="D197" s="213"/>
      <c r="E197" s="213"/>
      <c r="F197" s="213"/>
      <c r="G197" s="213"/>
      <c r="H197" s="213"/>
      <c r="I197" s="213"/>
      <c r="J197" s="213"/>
      <c r="K197" s="213"/>
      <c r="L197" s="213"/>
      <c r="M197" s="213"/>
      <c r="N197" s="98"/>
    </row>
    <row r="198" spans="1:14" x14ac:dyDescent="0.25">
      <c r="A198" s="98"/>
      <c r="B198" s="98"/>
      <c r="C198" s="98"/>
      <c r="D198" s="98"/>
      <c r="E198" s="98"/>
      <c r="F198" s="98"/>
      <c r="G198" s="98"/>
      <c r="H198" s="98"/>
      <c r="I198" s="98"/>
      <c r="J198" s="98"/>
      <c r="K198" s="98"/>
      <c r="L198" s="98"/>
      <c r="M198" s="98"/>
      <c r="N198" s="98"/>
    </row>
    <row r="199" spans="1:14" x14ac:dyDescent="0.25">
      <c r="A199" s="98"/>
      <c r="B199" s="98"/>
      <c r="C199" s="98"/>
      <c r="D199" s="98"/>
      <c r="E199" s="98"/>
      <c r="F199" s="98"/>
      <c r="G199" s="98"/>
      <c r="H199" s="98"/>
      <c r="I199" s="98"/>
      <c r="J199" s="98"/>
      <c r="K199" s="98"/>
      <c r="L199" s="98"/>
      <c r="M199" s="98"/>
      <c r="N199" s="98"/>
    </row>
    <row r="200" spans="1:14" x14ac:dyDescent="0.25">
      <c r="A200" s="98"/>
      <c r="B200" s="98"/>
      <c r="C200" s="98"/>
      <c r="D200" s="98"/>
      <c r="E200" s="98"/>
      <c r="F200" s="98"/>
      <c r="G200" s="98"/>
      <c r="H200" s="98"/>
      <c r="I200" s="98"/>
      <c r="J200" s="98"/>
      <c r="K200" s="98"/>
      <c r="L200" s="98"/>
      <c r="M200" s="98"/>
      <c r="N200" s="98"/>
    </row>
    <row r="201" spans="1:14" x14ac:dyDescent="0.25">
      <c r="A201" s="98"/>
      <c r="B201" s="98"/>
      <c r="C201" s="98"/>
      <c r="D201" s="98"/>
      <c r="E201" s="98"/>
      <c r="F201" s="98"/>
      <c r="G201" s="98"/>
      <c r="H201" s="98"/>
      <c r="I201" s="98"/>
      <c r="J201" s="98"/>
      <c r="K201" s="98"/>
      <c r="L201" s="98"/>
      <c r="M201" s="98"/>
      <c r="N201" s="98"/>
    </row>
    <row r="202" spans="1:14" x14ac:dyDescent="0.25">
      <c r="A202" s="98"/>
      <c r="B202" s="98"/>
      <c r="C202" s="98"/>
      <c r="D202" s="98"/>
      <c r="E202" s="98"/>
      <c r="F202" s="98"/>
      <c r="G202" s="98"/>
      <c r="H202" s="98"/>
      <c r="I202" s="98"/>
      <c r="J202" s="98"/>
      <c r="K202" s="98"/>
      <c r="L202" s="98"/>
      <c r="M202" s="98"/>
      <c r="N202" s="98"/>
    </row>
    <row r="203" spans="1:14" x14ac:dyDescent="0.25">
      <c r="A203" s="98"/>
      <c r="B203" s="98"/>
      <c r="C203" s="98"/>
      <c r="D203" s="98"/>
      <c r="E203" s="98"/>
      <c r="F203" s="98"/>
      <c r="G203" s="98"/>
      <c r="H203" s="98"/>
      <c r="I203" s="98"/>
      <c r="J203" s="98"/>
      <c r="K203" s="98"/>
      <c r="L203" s="98"/>
      <c r="M203" s="98"/>
      <c r="N203" s="98"/>
    </row>
    <row r="204" spans="1:14" x14ac:dyDescent="0.25">
      <c r="A204" s="98"/>
      <c r="B204" s="98"/>
      <c r="C204" s="98"/>
      <c r="D204" s="98"/>
      <c r="E204" s="98"/>
      <c r="F204" s="98"/>
      <c r="G204" s="98"/>
      <c r="H204" s="98"/>
      <c r="I204" s="98"/>
      <c r="J204" s="98"/>
      <c r="K204" s="98"/>
      <c r="L204" s="98"/>
      <c r="M204" s="98"/>
      <c r="N204" s="98"/>
    </row>
    <row r="205" spans="1:14" x14ac:dyDescent="0.25">
      <c r="A205" s="98"/>
      <c r="B205" s="98"/>
      <c r="C205" s="98"/>
      <c r="D205" s="98"/>
      <c r="E205" s="98"/>
      <c r="F205" s="98"/>
      <c r="G205" s="98"/>
      <c r="H205" s="98"/>
      <c r="I205" s="98"/>
      <c r="J205" s="98"/>
      <c r="K205" s="98"/>
      <c r="L205" s="98"/>
      <c r="M205" s="98"/>
      <c r="N205" s="98"/>
    </row>
    <row r="206" spans="1:14" x14ac:dyDescent="0.25">
      <c r="A206" s="98"/>
      <c r="B206" s="98"/>
      <c r="C206" s="98"/>
      <c r="D206" s="98"/>
      <c r="E206" s="98"/>
      <c r="F206" s="98"/>
      <c r="G206" s="98"/>
      <c r="H206" s="98"/>
      <c r="I206" s="98"/>
      <c r="J206" s="98"/>
      <c r="K206" s="98"/>
      <c r="L206" s="98"/>
      <c r="M206" s="98"/>
      <c r="N206" s="98"/>
    </row>
    <row r="207" spans="1:14" x14ac:dyDescent="0.25">
      <c r="A207" s="98"/>
      <c r="B207" s="98"/>
      <c r="C207" s="98"/>
      <c r="D207" s="98"/>
      <c r="E207" s="98"/>
      <c r="F207" s="98"/>
      <c r="G207" s="98"/>
      <c r="H207" s="98"/>
      <c r="I207" s="98"/>
      <c r="J207" s="98"/>
      <c r="K207" s="98"/>
      <c r="L207" s="98"/>
      <c r="M207" s="98"/>
      <c r="N207" s="98"/>
    </row>
    <row r="208" spans="1:14" x14ac:dyDescent="0.25">
      <c r="A208" s="98"/>
      <c r="B208" s="98"/>
      <c r="C208" s="98"/>
      <c r="D208" s="98"/>
      <c r="E208" s="98"/>
      <c r="F208" s="98"/>
      <c r="G208" s="98"/>
      <c r="H208" s="98"/>
      <c r="I208" s="98"/>
      <c r="J208" s="98"/>
      <c r="K208" s="98"/>
      <c r="L208" s="98"/>
      <c r="M208" s="98"/>
      <c r="N208" s="98"/>
    </row>
    <row r="209" spans="1:14" x14ac:dyDescent="0.25">
      <c r="A209" s="98"/>
      <c r="B209" s="98"/>
      <c r="C209" s="98"/>
      <c r="D209" s="98"/>
      <c r="E209" s="98"/>
      <c r="F209" s="98"/>
      <c r="G209" s="98"/>
      <c r="H209" s="98"/>
      <c r="I209" s="98"/>
      <c r="J209" s="98"/>
      <c r="K209" s="98"/>
      <c r="L209" s="98"/>
      <c r="M209" s="98"/>
      <c r="N209" s="98"/>
    </row>
  </sheetData>
  <sheetProtection algorithmName="SHA-512" hashValue="0Q2PTu1css3Q+U5ptSl85cHanwgzxz195aqlMpatzpAbU3NCYXRiJAxpuyoylEPIWpYN+y+i8C4XpIdDxnAZpQ==" saltValue="/zEJg7qbRMb8QFQRw6Q90A==" spinCount="100000" sheet="1" objects="1" scenarios="1"/>
  <protectedRanges>
    <protectedRange sqref="C4 L4 C5:M8 D24:D27 F25:F28 H28 D84 B88:C89 G84:G85 K83 K86:K88 L24 B84:B86 C85:C86" name="Range1"/>
    <protectedRange sqref="C100:H101" name="Range1_1"/>
    <protectedRange sqref="H87 F89:G89" name="Range1_2"/>
    <protectedRange sqref="G87" name="Range1_3"/>
  </protectedRanges>
  <mergeCells count="62">
    <mergeCell ref="B163:M197"/>
    <mergeCell ref="C112:F112"/>
    <mergeCell ref="G112:J112"/>
    <mergeCell ref="B129:F129"/>
    <mergeCell ref="C144:E144"/>
    <mergeCell ref="F144:H144"/>
    <mergeCell ref="C117:F117"/>
    <mergeCell ref="G117:J117"/>
    <mergeCell ref="C122:F122"/>
    <mergeCell ref="G122:J122"/>
    <mergeCell ref="C149:E149"/>
    <mergeCell ref="F149:H149"/>
    <mergeCell ref="C154:E154"/>
    <mergeCell ref="F154:H154"/>
    <mergeCell ref="C159:E159"/>
    <mergeCell ref="F159:H159"/>
    <mergeCell ref="F78:K78"/>
    <mergeCell ref="B81:D81"/>
    <mergeCell ref="B160:M160"/>
    <mergeCell ref="B162:M162"/>
    <mergeCell ref="B80:E80"/>
    <mergeCell ref="B83:C83"/>
    <mergeCell ref="F83:H83"/>
    <mergeCell ref="G84:H84"/>
    <mergeCell ref="B87:C87"/>
    <mergeCell ref="B91:F91"/>
    <mergeCell ref="C84:D84"/>
    <mergeCell ref="C85:D85"/>
    <mergeCell ref="C88:D88"/>
    <mergeCell ref="C89:D89"/>
    <mergeCell ref="N1:N160"/>
    <mergeCell ref="B2:L2"/>
    <mergeCell ref="C4:J4"/>
    <mergeCell ref="L4:M4"/>
    <mergeCell ref="C5:M5"/>
    <mergeCell ref="C6:M6"/>
    <mergeCell ref="C7:M7"/>
    <mergeCell ref="C8:M8"/>
    <mergeCell ref="B73:D73"/>
    <mergeCell ref="F73:H73"/>
    <mergeCell ref="J73:L73"/>
    <mergeCell ref="B23:M23"/>
    <mergeCell ref="J24:K24"/>
    <mergeCell ref="J25:K25"/>
    <mergeCell ref="J29:L29"/>
    <mergeCell ref="I33:K33"/>
    <mergeCell ref="A1:A160"/>
    <mergeCell ref="B1:M1"/>
    <mergeCell ref="C34:F34"/>
    <mergeCell ref="I34:K34"/>
    <mergeCell ref="C35:F35"/>
    <mergeCell ref="I35:K35"/>
    <mergeCell ref="C36:F36"/>
    <mergeCell ref="I36:K36"/>
    <mergeCell ref="B72:M72"/>
    <mergeCell ref="B74:D74"/>
    <mergeCell ref="F74:H74"/>
    <mergeCell ref="J74:L74"/>
    <mergeCell ref="B75:D75"/>
    <mergeCell ref="B76:D76"/>
    <mergeCell ref="G76:M76"/>
    <mergeCell ref="G81:M82"/>
  </mergeCells>
  <conditionalFormatting sqref="G76:M76">
    <cfRule type="expression" dxfId="22" priority="2">
      <formula>$F$87="**"</formula>
    </cfRule>
  </conditionalFormatting>
  <conditionalFormatting sqref="J29:L29">
    <cfRule type="expression" dxfId="21" priority="1">
      <formula>$J$29="No Good. Aspect Ratios &gt; 3.5"</formula>
    </cfRule>
  </conditionalFormatting>
  <dataValidations count="3">
    <dataValidation type="list" allowBlank="1" showInputMessage="1" showErrorMessage="1" sqref="L24 K86 K83" xr:uid="{00000000-0002-0000-0100-000001000000}">
      <formula1>#REF!</formula1>
    </dataValidation>
    <dataValidation type="list" allowBlank="1" showInputMessage="1" showErrorMessage="1" sqref="C85:D85" xr:uid="{E01B1B1A-A646-4338-9DE2-19335B800809}">
      <formula1>"APA Rated Sheathing, APA Structural 1"</formula1>
    </dataValidation>
    <dataValidation type="whole" operator="greaterThan" allowBlank="1" showInputMessage="1" showErrorMessage="1" sqref="C99:H99" xr:uid="{F46A773B-01A3-45FC-BB91-94B4BBA4CE78}">
      <formula1>0</formula1>
    </dataValidation>
  </dataValidations>
  <printOptions horizontalCentered="1"/>
  <pageMargins left="0.7" right="0.7" top="0.5" bottom="0.5" header="0.3" footer="0.3"/>
  <pageSetup scale="58" fitToHeight="0" orientation="portrait" r:id="rId1"/>
  <headerFooter>
    <oddFooter>&amp;C&amp;G</oddFooter>
    <firstHeader>&amp;C&amp;G</firstHeader>
    <firstFooter>&amp;C&amp;G</firstFooter>
  </headerFooter>
  <rowBreaks count="2" manualBreakCount="2">
    <brk id="78" min="1" max="12" man="1"/>
    <brk id="127" min="1" max="12" man="1"/>
  </rowBreaks>
  <ignoredErrors>
    <ignoredError sqref="E104 D105 F105 H105 E106:E109 G104 G106:G109 E139:E141 G139:G141 H137 E96 G96 E134 G134" formula="1"/>
    <ignoredError sqref="D28" formulaRange="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EEADE230-416E-49C5-A93C-5CBAAE0E709F}">
          <x14:formula1>
            <xm:f>LookUp!$D$2:$D$8</xm:f>
          </x14:formula1>
          <xm:sqref>C84:D84</xm:sqref>
        </x14:dataValidation>
        <x14:dataValidation type="list" allowBlank="1" showInputMessage="1" showErrorMessage="1" xr:uid="{5AFC7276-25BF-4706-BC3B-E4DEFD143C3E}">
          <x14:formula1>
            <xm:f>LookUp!$A$2:$A$7</xm:f>
          </x14:formula1>
          <xm:sqref>C100:H100 H87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Z218"/>
  <sheetViews>
    <sheetView showGridLines="0" tabSelected="1" topLeftCell="A28" zoomScaleNormal="100" zoomScaleSheetLayoutView="90" zoomScalePageLayoutView="60" workbookViewId="0">
      <selection activeCell="G29" sqref="G29"/>
    </sheetView>
  </sheetViews>
  <sheetFormatPr defaultRowHeight="15" x14ac:dyDescent="0.25"/>
  <cols>
    <col min="1" max="1" width="3.140625" customWidth="1"/>
    <col min="2" max="2" width="13.5703125" customWidth="1"/>
    <col min="3" max="10" width="11.5703125" customWidth="1"/>
    <col min="11" max="11" width="13.5703125" customWidth="1"/>
    <col min="12" max="12" width="17.5703125" customWidth="1"/>
    <col min="13" max="13" width="19.42578125" customWidth="1"/>
    <col min="14" max="14" width="169.42578125" customWidth="1"/>
    <col min="15" max="15" width="3.5703125" customWidth="1"/>
    <col min="16" max="16" width="6" bestFit="1" customWidth="1"/>
    <col min="17" max="17" width="5.5703125" bestFit="1" customWidth="1"/>
    <col min="18" max="19" width="5" bestFit="1" customWidth="1"/>
    <col min="20" max="20" width="4.5703125" bestFit="1" customWidth="1"/>
  </cols>
  <sheetData>
    <row r="1" spans="1:14" x14ac:dyDescent="0.25">
      <c r="A1" s="204"/>
      <c r="B1" s="204"/>
      <c r="C1" s="204"/>
      <c r="D1" s="204"/>
      <c r="E1" s="204"/>
      <c r="F1" s="204"/>
      <c r="G1" s="204"/>
      <c r="H1" s="204"/>
      <c r="I1" s="204"/>
      <c r="J1" s="204"/>
      <c r="K1" s="204"/>
      <c r="L1" s="204"/>
      <c r="M1" s="204"/>
      <c r="N1" s="204"/>
    </row>
    <row r="2" spans="1:14" ht="111.75" customHeight="1" x14ac:dyDescent="0.25">
      <c r="A2" s="204"/>
      <c r="B2" s="211" t="str">
        <f ca="1">IF(TODAY()&lt;DATE(2026,2,28),"OneOpen","Expire")</f>
        <v>OneOpen</v>
      </c>
      <c r="C2" s="211"/>
      <c r="D2" s="211"/>
      <c r="E2" s="211"/>
      <c r="F2" s="211"/>
      <c r="G2" s="211"/>
      <c r="H2" s="211"/>
      <c r="I2" s="211"/>
      <c r="J2" s="211"/>
      <c r="K2" s="211"/>
      <c r="L2" s="211"/>
      <c r="M2" s="211"/>
      <c r="N2" s="204"/>
    </row>
    <row r="3" spans="1:14" ht="15" customHeight="1" thickBot="1" x14ac:dyDescent="0.3">
      <c r="A3" s="204"/>
      <c r="B3" s="42" t="s">
        <v>78</v>
      </c>
      <c r="C3" s="42"/>
      <c r="D3" s="42"/>
      <c r="E3" s="6"/>
      <c r="F3" s="6"/>
      <c r="G3" s="6"/>
      <c r="H3" s="6"/>
      <c r="I3" s="6"/>
      <c r="J3" s="6"/>
      <c r="K3" s="6"/>
      <c r="L3" s="6"/>
      <c r="M3" s="6"/>
      <c r="N3" s="204"/>
    </row>
    <row r="4" spans="1:14" ht="15" customHeight="1" x14ac:dyDescent="0.25">
      <c r="A4" s="204"/>
      <c r="B4" s="36" t="s">
        <v>79</v>
      </c>
      <c r="C4" s="263"/>
      <c r="D4" s="263"/>
      <c r="E4" s="263"/>
      <c r="F4" s="263"/>
      <c r="G4" s="263"/>
      <c r="H4" s="263"/>
      <c r="I4" s="263"/>
      <c r="J4" s="263"/>
      <c r="K4" s="69" t="s">
        <v>81</v>
      </c>
      <c r="L4" s="263"/>
      <c r="M4" s="263"/>
      <c r="N4" s="204"/>
    </row>
    <row r="5" spans="1:14" ht="15" customHeight="1" x14ac:dyDescent="0.25">
      <c r="A5" s="204"/>
      <c r="B5" s="35" t="s">
        <v>82</v>
      </c>
      <c r="C5" s="230"/>
      <c r="D5" s="230"/>
      <c r="E5" s="230"/>
      <c r="F5" s="230"/>
      <c r="G5" s="230"/>
      <c r="H5" s="230"/>
      <c r="I5" s="230"/>
      <c r="J5" s="230"/>
      <c r="K5" s="230"/>
      <c r="L5" s="230"/>
      <c r="M5" s="101"/>
      <c r="N5" s="204"/>
    </row>
    <row r="6" spans="1:14" ht="15" customHeight="1" x14ac:dyDescent="0.25">
      <c r="A6" s="204"/>
      <c r="B6" s="35" t="s">
        <v>84</v>
      </c>
      <c r="C6" s="262"/>
      <c r="D6" s="262"/>
      <c r="E6" s="262"/>
      <c r="F6" s="262"/>
      <c r="G6" s="262"/>
      <c r="H6" s="262"/>
      <c r="I6" s="262"/>
      <c r="J6" s="262"/>
      <c r="K6" s="262"/>
      <c r="L6" s="262"/>
      <c r="M6" s="101"/>
      <c r="N6" s="204"/>
    </row>
    <row r="7" spans="1:14" ht="15" customHeight="1" x14ac:dyDescent="0.25">
      <c r="A7" s="204"/>
      <c r="B7" s="35" t="s">
        <v>85</v>
      </c>
      <c r="C7" s="231"/>
      <c r="D7" s="231"/>
      <c r="E7" s="231"/>
      <c r="F7" s="231"/>
      <c r="G7" s="231"/>
      <c r="H7" s="231"/>
      <c r="I7" s="231"/>
      <c r="J7" s="231"/>
      <c r="K7" s="231"/>
      <c r="L7" s="231"/>
      <c r="M7" s="101"/>
      <c r="N7" s="204"/>
    </row>
    <row r="8" spans="1:14" ht="15" customHeight="1" x14ac:dyDescent="0.25">
      <c r="A8" s="204"/>
      <c r="B8" s="35" t="s">
        <v>87</v>
      </c>
      <c r="C8" s="231"/>
      <c r="D8" s="231"/>
      <c r="E8" s="231"/>
      <c r="F8" s="231"/>
      <c r="G8" s="231"/>
      <c r="H8" s="231"/>
      <c r="I8" s="231"/>
      <c r="J8" s="231"/>
      <c r="K8" s="231"/>
      <c r="L8" s="231"/>
      <c r="M8" s="101"/>
      <c r="N8" s="204"/>
    </row>
    <row r="9" spans="1:14" ht="15" customHeight="1" x14ac:dyDescent="0.25">
      <c r="A9" s="204"/>
      <c r="B9" s="99"/>
      <c r="C9" s="100"/>
      <c r="D9" s="100"/>
      <c r="E9" s="100"/>
      <c r="F9" s="100"/>
      <c r="G9" s="100"/>
      <c r="N9" s="204"/>
    </row>
    <row r="10" spans="1:14" ht="15" customHeight="1" x14ac:dyDescent="0.25">
      <c r="A10" s="204"/>
      <c r="G10" s="100"/>
      <c r="N10" s="204"/>
    </row>
    <row r="11" spans="1:14" ht="15" customHeight="1" x14ac:dyDescent="0.25">
      <c r="A11" s="204"/>
      <c r="G11" s="100"/>
      <c r="N11" s="204"/>
    </row>
    <row r="12" spans="1:14" ht="15" customHeight="1" x14ac:dyDescent="0.25">
      <c r="A12" s="204"/>
      <c r="G12" s="100"/>
      <c r="N12" s="204"/>
    </row>
    <row r="13" spans="1:14" ht="15" customHeight="1" x14ac:dyDescent="0.25">
      <c r="A13" s="204"/>
      <c r="G13" s="100"/>
      <c r="N13" s="204"/>
    </row>
    <row r="14" spans="1:14" ht="15" customHeight="1" x14ac:dyDescent="0.25">
      <c r="A14" s="204"/>
      <c r="G14" s="100"/>
      <c r="N14" s="204"/>
    </row>
    <row r="15" spans="1:14" ht="15" customHeight="1" x14ac:dyDescent="0.25">
      <c r="A15" s="204"/>
      <c r="N15" s="204"/>
    </row>
    <row r="16" spans="1:14" ht="15" customHeight="1" x14ac:dyDescent="0.25">
      <c r="A16" s="204"/>
      <c r="B16" s="2"/>
      <c r="C16" s="91"/>
      <c r="D16" s="2"/>
      <c r="E16" s="63"/>
      <c r="F16" s="2"/>
      <c r="N16" s="204"/>
    </row>
    <row r="17" spans="1:26" ht="15" customHeight="1" x14ac:dyDescent="0.25">
      <c r="A17" s="204"/>
      <c r="B17" s="2"/>
      <c r="C17" s="91"/>
      <c r="D17" s="2"/>
      <c r="E17" s="63"/>
      <c r="F17" s="2"/>
      <c r="N17" s="204"/>
    </row>
    <row r="18" spans="1:26" ht="15" customHeight="1" x14ac:dyDescent="0.25">
      <c r="A18" s="204"/>
      <c r="B18" s="2"/>
      <c r="C18" s="91"/>
      <c r="D18" s="2"/>
      <c r="E18" s="63"/>
      <c r="F18" s="2"/>
      <c r="N18" s="204"/>
    </row>
    <row r="19" spans="1:26" ht="15" customHeight="1" x14ac:dyDescent="0.25">
      <c r="A19" s="204"/>
      <c r="B19" s="2"/>
      <c r="C19" s="91"/>
      <c r="D19" s="2"/>
      <c r="E19" s="63"/>
      <c r="F19" s="2"/>
      <c r="N19" s="204"/>
    </row>
    <row r="20" spans="1:26" ht="15" customHeight="1" x14ac:dyDescent="0.25">
      <c r="A20" s="204"/>
      <c r="B20" s="2"/>
      <c r="C20" s="91"/>
      <c r="D20" s="2"/>
      <c r="E20" s="63"/>
      <c r="F20" s="2"/>
      <c r="N20" s="204"/>
    </row>
    <row r="21" spans="1:26" ht="15" customHeight="1" x14ac:dyDescent="0.25">
      <c r="A21" s="204"/>
      <c r="B21" s="2"/>
      <c r="C21" s="91"/>
      <c r="D21" s="2"/>
      <c r="E21" s="63"/>
      <c r="F21" s="2"/>
      <c r="N21" s="204"/>
    </row>
    <row r="22" spans="1:26" ht="15" customHeight="1" x14ac:dyDescent="0.25">
      <c r="A22" s="204"/>
      <c r="B22" s="2"/>
      <c r="C22" s="91"/>
      <c r="D22" s="2"/>
      <c r="E22" s="63"/>
      <c r="F22" s="2"/>
      <c r="N22" s="204"/>
    </row>
    <row r="23" spans="1:26" ht="15" customHeight="1" thickBot="1" x14ac:dyDescent="0.3">
      <c r="A23" s="204"/>
      <c r="B23" s="208" t="s">
        <v>88</v>
      </c>
      <c r="C23" s="208"/>
      <c r="D23" s="208"/>
      <c r="E23" s="208"/>
      <c r="F23" s="208"/>
      <c r="G23" s="208"/>
      <c r="H23" s="208"/>
      <c r="I23" s="208"/>
      <c r="J23" s="208"/>
      <c r="K23" s="208"/>
      <c r="L23" s="208"/>
      <c r="M23" s="208"/>
      <c r="N23" s="204"/>
    </row>
    <row r="24" spans="1:26" ht="15" customHeight="1" thickBot="1" x14ac:dyDescent="0.3">
      <c r="A24" s="204"/>
      <c r="B24" s="2"/>
      <c r="C24" s="91"/>
      <c r="D24" s="2" t="s">
        <v>4</v>
      </c>
      <c r="E24" s="118">
        <v>2100</v>
      </c>
      <c r="G24" s="74" t="s">
        <v>89</v>
      </c>
      <c r="I24" s="233" t="s">
        <v>91</v>
      </c>
      <c r="J24" s="233"/>
      <c r="K24" s="130" t="s">
        <v>92</v>
      </c>
      <c r="L24" s="266"/>
      <c r="M24" s="267"/>
      <c r="N24" s="204"/>
    </row>
    <row r="25" spans="1:26" ht="15" customHeight="1" thickTop="1" x14ac:dyDescent="0.35">
      <c r="A25" s="204"/>
      <c r="B25" s="255" t="str">
        <f>IF(OR(AND((E25&gt;0),(E25&lt;1.5)),AND((E26&gt;0),(E26&lt;1.5))),"Pier length is less than 1.50 ft. Please revise.","")</f>
        <v/>
      </c>
      <c r="C25" s="255"/>
      <c r="D25" s="2" t="s">
        <v>93</v>
      </c>
      <c r="E25" s="119">
        <v>2.5</v>
      </c>
      <c r="F25" s="2" t="s">
        <v>237</v>
      </c>
      <c r="G25" s="120">
        <v>2</v>
      </c>
      <c r="I25" s="234" t="s">
        <v>96</v>
      </c>
      <c r="J25" s="235"/>
      <c r="K25" s="50" t="s">
        <v>97</v>
      </c>
      <c r="N25" s="204"/>
    </row>
    <row r="26" spans="1:26" ht="15" customHeight="1" x14ac:dyDescent="0.35">
      <c r="A26" s="204"/>
      <c r="B26" s="255"/>
      <c r="C26" s="255"/>
      <c r="D26" s="2" t="s">
        <v>98</v>
      </c>
      <c r="E26" s="120">
        <v>3.5</v>
      </c>
      <c r="F26" s="2" t="s">
        <v>238</v>
      </c>
      <c r="G26" s="121">
        <v>4</v>
      </c>
      <c r="I26" s="2" t="s">
        <v>101</v>
      </c>
      <c r="J26" s="47">
        <f>IFERROR(G26/E25,"")</f>
        <v>1.6</v>
      </c>
      <c r="K26" s="129" t="str">
        <f>IF(OR(J26&lt;=2,$K$24="None",$K$24=""),"N/A",IF(AND(J26&lt;=3.504,J26&gt;2),IF($K$24="2bs/h",(2*E25)/G26,1.25-(0.125*J26)),""))</f>
        <v>N/A</v>
      </c>
      <c r="L26" s="255" t="str">
        <f>IF(MAX(J26:J27)&gt;3.504,"Aspect Ratio is greater than 3.5. Please revise.","")</f>
        <v/>
      </c>
      <c r="M26" s="264"/>
      <c r="N26" s="204"/>
    </row>
    <row r="27" spans="1:26" ht="15" customHeight="1" x14ac:dyDescent="0.35">
      <c r="A27" s="204"/>
      <c r="C27" s="15"/>
      <c r="D27" s="2" t="s">
        <v>106</v>
      </c>
      <c r="E27" s="91">
        <f>IF(G25="","",SUM(G25:G27))</f>
        <v>10</v>
      </c>
      <c r="F27" s="2" t="s">
        <v>239</v>
      </c>
      <c r="G27" s="121">
        <v>4</v>
      </c>
      <c r="I27" s="2" t="s">
        <v>105</v>
      </c>
      <c r="J27" s="47">
        <f>IFERROR(G26/E26,"")</f>
        <v>1.1428571428571428</v>
      </c>
      <c r="K27" s="129" t="str">
        <f>IF(OR(J27&lt;=2,$K$24="None",$K$24=""),"N/A",IF(AND(J27&lt;=3.504,J27&gt;2),IF($K$24="2bs/h",(2*E26)/G26,1.25-(0.125*J27)),""))</f>
        <v>N/A</v>
      </c>
      <c r="L27" s="255"/>
      <c r="M27" s="264"/>
      <c r="N27" s="204"/>
      <c r="U27" s="2"/>
      <c r="V27" s="1"/>
      <c r="Y27" s="2"/>
      <c r="Z27" s="1"/>
    </row>
    <row r="28" spans="1:26" ht="15" customHeight="1" x14ac:dyDescent="0.35">
      <c r="A28" s="204"/>
      <c r="D28" s="2" t="s">
        <v>110</v>
      </c>
      <c r="E28" s="91">
        <f>IF(E25="","",E25+E26+G28)</f>
        <v>12</v>
      </c>
      <c r="F28" s="72" t="s">
        <v>107</v>
      </c>
      <c r="G28" s="121">
        <v>6</v>
      </c>
      <c r="I28" s="15"/>
      <c r="J28" s="15"/>
      <c r="K28" s="15"/>
      <c r="N28" s="204"/>
      <c r="U28" s="2"/>
      <c r="V28" s="60"/>
      <c r="Y28" s="2"/>
      <c r="Z28" s="60"/>
    </row>
    <row r="29" spans="1:26" ht="15" customHeight="1" x14ac:dyDescent="0.25">
      <c r="A29" s="204"/>
      <c r="I29" s="15"/>
      <c r="J29" s="15"/>
      <c r="K29" s="15"/>
      <c r="N29" s="204"/>
    </row>
    <row r="30" spans="1:26" ht="15" customHeight="1" x14ac:dyDescent="0.25">
      <c r="A30" s="204"/>
      <c r="B30" s="265" t="str">
        <f>IFERROR(IF(OR(G28/G25&gt;6.5,G28/G27&gt;6.5),"Note to Designer: The width-to-height ratio of sheathing above or below the openings exceeds 6.5:1. Exercise caution when assuming fixity at corner regions, as assumed in this calculator.",""),"")</f>
        <v/>
      </c>
      <c r="C30" s="265"/>
      <c r="D30" s="265"/>
      <c r="E30" s="265"/>
      <c r="F30" s="265"/>
      <c r="G30" s="265"/>
      <c r="H30" s="265"/>
      <c r="I30" s="265"/>
      <c r="J30" s="265"/>
      <c r="K30" s="265"/>
      <c r="L30" s="265"/>
      <c r="M30" s="265"/>
      <c r="N30" s="204"/>
    </row>
    <row r="31" spans="1:26" ht="15" customHeight="1" x14ac:dyDescent="0.25">
      <c r="A31" s="204"/>
      <c r="B31" s="265" t="str">
        <f>IFERROR(IF(OR(AND((E25&gt;0),(E25&lt;1.5)),AND((E26&gt;0),(E26&lt;1.5))),"Pier length is less than 1.50 ft. Please revise.",IF(OR(AND((E25&gt;0),(E25&lt;2)),AND((E26&gt;0),(E26&lt;2))),"Note to Designer: 2021 Special Design Provisions for Wind and Seismic (SDPWS) limits wall pier widths to 24 inches, but APA testing successfully utilized blocked pier widths as narrow as 18 inches.","")),"")</f>
        <v/>
      </c>
      <c r="C31" s="265"/>
      <c r="D31" s="265"/>
      <c r="E31" s="265"/>
      <c r="F31" s="265"/>
      <c r="G31" s="265"/>
      <c r="H31" s="265"/>
      <c r="I31" s="265"/>
      <c r="J31" s="265"/>
      <c r="K31" s="265"/>
      <c r="L31" s="265"/>
      <c r="M31" s="265"/>
      <c r="N31" s="204"/>
    </row>
    <row r="32" spans="1:26" ht="15" customHeight="1" x14ac:dyDescent="0.25">
      <c r="A32" s="204"/>
      <c r="B32" s="265" t="str">
        <f>IF(OR(AND((G25&gt;0),(G25&lt;1)),AND((G27&gt;0),(G27&lt;1))),"Note to Designer: The height of sheathing above or below the openings is less than 1.0 foot. Exercise caution when assuming fixity at corner regions, as assumed in this calculator.","")</f>
        <v/>
      </c>
      <c r="C32" s="265"/>
      <c r="D32" s="265"/>
      <c r="E32" s="265"/>
      <c r="F32" s="265"/>
      <c r="G32" s="265"/>
      <c r="H32" s="265"/>
      <c r="I32" s="265"/>
      <c r="J32" s="265"/>
      <c r="K32" s="265"/>
      <c r="L32" s="265"/>
      <c r="M32" s="265"/>
      <c r="N32" s="204"/>
    </row>
    <row r="33" spans="1:14" ht="15" customHeight="1" x14ac:dyDescent="0.25">
      <c r="A33" s="204"/>
      <c r="N33" s="204"/>
    </row>
    <row r="34" spans="1:14" ht="15" customHeight="1" x14ac:dyDescent="0.35">
      <c r="A34" s="204"/>
      <c r="C34" s="4" t="s">
        <v>111</v>
      </c>
      <c r="D34" s="4"/>
      <c r="E34" s="4"/>
      <c r="F34" s="4"/>
      <c r="G34" s="84">
        <f>IFERROR(E24*E27/E28,"")</f>
        <v>1750</v>
      </c>
      <c r="H34" s="32"/>
      <c r="I34" s="67" t="s">
        <v>112</v>
      </c>
      <c r="J34" s="3"/>
      <c r="K34" s="3"/>
      <c r="L34" s="3"/>
      <c r="N34" s="204"/>
    </row>
    <row r="35" spans="1:14" ht="15" customHeight="1" x14ac:dyDescent="0.25">
      <c r="A35" s="204"/>
      <c r="I35" s="219" t="s">
        <v>114</v>
      </c>
      <c r="J35" s="219"/>
      <c r="K35" s="219"/>
      <c r="L35" s="64">
        <f>IFERROR((E24/E28)*(E25+G47)/E25,"")</f>
        <v>350</v>
      </c>
      <c r="N35" s="204"/>
    </row>
    <row r="36" spans="1:14" ht="15" customHeight="1" x14ac:dyDescent="0.25">
      <c r="A36" s="204"/>
      <c r="C36" s="36" t="s">
        <v>113</v>
      </c>
      <c r="D36" s="36"/>
      <c r="E36" s="36"/>
      <c r="F36" s="36"/>
      <c r="G36" s="66"/>
      <c r="I36" s="220" t="s">
        <v>240</v>
      </c>
      <c r="J36" s="220"/>
      <c r="K36" s="220"/>
      <c r="L36" s="64">
        <f>IFERROR(((E24/E28)*(E26+G48))/E26,"")</f>
        <v>350</v>
      </c>
      <c r="N36" s="204"/>
    </row>
    <row r="37" spans="1:14" ht="15" customHeight="1" x14ac:dyDescent="0.35">
      <c r="A37" s="204"/>
      <c r="C37" s="219" t="s">
        <v>241</v>
      </c>
      <c r="D37" s="219"/>
      <c r="E37" s="219"/>
      <c r="F37" s="219"/>
      <c r="G37" s="65">
        <f>IF(E24=0,"",IF(OR(G25=0,G27=0),"N/A",G34/(G25+G27)))</f>
        <v>291.66666666666669</v>
      </c>
      <c r="I37" s="220" t="s">
        <v>242</v>
      </c>
      <c r="J37" s="220"/>
      <c r="K37" s="220"/>
      <c r="L37" s="84">
        <f>IFERROR(L35*$E$25+L36*$E$26,"")</f>
        <v>2100</v>
      </c>
      <c r="M37" s="59" t="str">
        <f>IF(E24=0,"",IF(L37=E24,"OK","NO GOOD"))</f>
        <v>OK</v>
      </c>
      <c r="N37" s="204"/>
    </row>
    <row r="38" spans="1:14" ht="15" customHeight="1" x14ac:dyDescent="0.25">
      <c r="A38" s="204"/>
      <c r="C38" s="220"/>
      <c r="D38" s="220"/>
      <c r="E38" s="220"/>
      <c r="F38" s="220"/>
      <c r="G38" s="65"/>
      <c r="I38" s="220"/>
      <c r="J38" s="220"/>
      <c r="K38" s="220"/>
      <c r="L38" s="65"/>
      <c r="N38" s="204"/>
    </row>
    <row r="39" spans="1:14" ht="15" customHeight="1" x14ac:dyDescent="0.25">
      <c r="A39" s="204"/>
      <c r="C39" s="36" t="s">
        <v>120</v>
      </c>
      <c r="D39" s="36"/>
      <c r="E39" s="36"/>
      <c r="F39" s="36"/>
      <c r="G39" s="3"/>
      <c r="I39" s="67" t="s">
        <v>122</v>
      </c>
      <c r="J39" s="3"/>
      <c r="K39" s="3"/>
      <c r="L39" s="3"/>
      <c r="N39" s="204"/>
    </row>
    <row r="40" spans="1:14" ht="15" customHeight="1" x14ac:dyDescent="0.25">
      <c r="A40" s="204"/>
      <c r="F40" s="2" t="s">
        <v>121</v>
      </c>
      <c r="G40" s="84">
        <f>IFERROR(G37*G28,"")</f>
        <v>1750</v>
      </c>
      <c r="J40" s="2"/>
      <c r="K40" s="2" t="s">
        <v>124</v>
      </c>
      <c r="L40" s="84">
        <f>IFERROR(L35*E25,"")</f>
        <v>875</v>
      </c>
      <c r="N40" s="204"/>
    </row>
    <row r="41" spans="1:14" ht="15" customHeight="1" x14ac:dyDescent="0.25">
      <c r="A41" s="204"/>
      <c r="F41" s="2"/>
      <c r="G41" s="61"/>
      <c r="J41" s="2"/>
      <c r="K41" s="2" t="s">
        <v>125</v>
      </c>
      <c r="L41" s="84">
        <f>IFERROR(L36*E26,"")</f>
        <v>1225</v>
      </c>
      <c r="N41" s="204"/>
    </row>
    <row r="42" spans="1:14" ht="15" customHeight="1" x14ac:dyDescent="0.25">
      <c r="A42" s="204"/>
      <c r="C42" s="36" t="s">
        <v>126</v>
      </c>
      <c r="D42" s="36"/>
      <c r="E42" s="36"/>
      <c r="F42" s="36"/>
      <c r="G42" s="3"/>
      <c r="H42" s="32"/>
      <c r="N42" s="204"/>
    </row>
    <row r="43" spans="1:14" ht="15" customHeight="1" x14ac:dyDescent="0.25">
      <c r="A43" s="204"/>
      <c r="F43" s="2" t="s">
        <v>128</v>
      </c>
      <c r="G43" s="84">
        <f>IFERROR((G40*E25)/(E25+E26),"")</f>
        <v>729.16666666666663</v>
      </c>
      <c r="H43" s="32"/>
      <c r="I43" s="67" t="s">
        <v>130</v>
      </c>
      <c r="J43" s="3"/>
      <c r="K43" s="3"/>
      <c r="L43" s="3"/>
      <c r="N43" s="204"/>
    </row>
    <row r="44" spans="1:14" ht="15" customHeight="1" x14ac:dyDescent="0.25">
      <c r="A44" s="204"/>
      <c r="F44" s="2" t="s">
        <v>129</v>
      </c>
      <c r="G44" s="84">
        <f>IFERROR(G40*E26/(E25+E26),"")</f>
        <v>1020.8333333333334</v>
      </c>
      <c r="H44" s="32"/>
      <c r="J44" s="2"/>
      <c r="K44" s="2" t="s">
        <v>132</v>
      </c>
      <c r="L44" s="84">
        <f>IFERROR(L40-G43,"")</f>
        <v>145.83333333333337</v>
      </c>
      <c r="N44" s="204"/>
    </row>
    <row r="45" spans="1:14" ht="15" customHeight="1" x14ac:dyDescent="0.25">
      <c r="A45" s="204"/>
      <c r="K45" s="2" t="s">
        <v>243</v>
      </c>
      <c r="L45" s="84">
        <f>IFERROR(L41-G44,"")</f>
        <v>204.16666666666663</v>
      </c>
      <c r="N45" s="204"/>
    </row>
    <row r="46" spans="1:14" ht="15" customHeight="1" x14ac:dyDescent="0.25">
      <c r="A46" s="204"/>
      <c r="C46" s="36" t="s">
        <v>136</v>
      </c>
      <c r="D46" s="36"/>
      <c r="E46" s="36"/>
      <c r="F46" s="36"/>
      <c r="G46" s="3"/>
      <c r="N46" s="204"/>
    </row>
    <row r="47" spans="1:14" ht="15" customHeight="1" x14ac:dyDescent="0.25">
      <c r="A47" s="204"/>
      <c r="F47" s="2" t="s">
        <v>137</v>
      </c>
      <c r="G47" s="63">
        <f>IFERROR(E25*G28/(E25+E26),"")</f>
        <v>2.5</v>
      </c>
      <c r="H47" s="32"/>
      <c r="I47" s="67" t="s">
        <v>138</v>
      </c>
      <c r="J47" s="3"/>
      <c r="K47" s="3"/>
      <c r="L47" s="3"/>
      <c r="N47" s="204"/>
    </row>
    <row r="48" spans="1:14" ht="15" customHeight="1" x14ac:dyDescent="0.25">
      <c r="A48" s="204"/>
      <c r="F48" s="2" t="s">
        <v>139</v>
      </c>
      <c r="G48" s="63">
        <f>IFERROR(E26*G28/(E25+E26),"")</f>
        <v>3.5</v>
      </c>
      <c r="H48" s="32"/>
      <c r="J48" s="2"/>
      <c r="K48" s="2" t="s">
        <v>140</v>
      </c>
      <c r="L48" s="64">
        <f>IFERROR(L44/E25,"")</f>
        <v>58.33333333333335</v>
      </c>
      <c r="N48" s="204"/>
    </row>
    <row r="49" spans="1:23" ht="15" customHeight="1" x14ac:dyDescent="0.25">
      <c r="A49" s="204"/>
      <c r="F49" s="2"/>
      <c r="G49" s="62"/>
      <c r="H49" s="32"/>
      <c r="J49" s="2"/>
      <c r="K49" s="2" t="s">
        <v>244</v>
      </c>
      <c r="L49" s="64">
        <f>IFERROR((L41-G44)/E26,"")</f>
        <v>58.333333333333321</v>
      </c>
      <c r="N49" s="204"/>
      <c r="P49" s="1"/>
      <c r="Q49" s="1"/>
      <c r="R49" s="1"/>
      <c r="S49" s="1"/>
    </row>
    <row r="50" spans="1:23" ht="15" customHeight="1" x14ac:dyDescent="0.25">
      <c r="A50" s="204"/>
      <c r="H50" s="32"/>
      <c r="J50" s="2"/>
      <c r="K50" s="2"/>
      <c r="L50" s="64"/>
      <c r="N50" s="204"/>
      <c r="P50" s="1"/>
      <c r="Q50" s="1"/>
      <c r="R50" s="1"/>
      <c r="S50" s="1"/>
    </row>
    <row r="51" spans="1:23" ht="15" customHeight="1" x14ac:dyDescent="0.25">
      <c r="A51" s="204"/>
      <c r="H51" s="32"/>
      <c r="J51" s="2"/>
      <c r="K51" s="2"/>
      <c r="L51" s="65"/>
      <c r="N51" s="204"/>
      <c r="V51" s="2"/>
      <c r="W51" s="1"/>
    </row>
    <row r="52" spans="1:23" ht="15" customHeight="1" x14ac:dyDescent="0.25">
      <c r="A52" s="204"/>
      <c r="H52" s="32"/>
      <c r="N52" s="204"/>
    </row>
    <row r="53" spans="1:23" ht="15" customHeight="1" x14ac:dyDescent="0.25">
      <c r="A53" s="204"/>
      <c r="F53" s="2"/>
      <c r="G53" s="63"/>
      <c r="N53" s="204"/>
    </row>
    <row r="54" spans="1:23" ht="15" customHeight="1" x14ac:dyDescent="0.25">
      <c r="A54" s="204"/>
      <c r="N54" s="204"/>
    </row>
    <row r="55" spans="1:23" ht="15" customHeight="1" x14ac:dyDescent="0.25">
      <c r="A55" s="204"/>
      <c r="H55" s="32"/>
      <c r="N55" s="204"/>
      <c r="O55" s="1"/>
    </row>
    <row r="56" spans="1:23" ht="15" customHeight="1" x14ac:dyDescent="0.25">
      <c r="A56" s="204"/>
      <c r="H56" s="32"/>
      <c r="N56" s="204"/>
      <c r="O56" s="1"/>
    </row>
    <row r="57" spans="1:23" ht="15" customHeight="1" x14ac:dyDescent="0.25">
      <c r="A57" s="204"/>
      <c r="H57" s="32"/>
      <c r="N57" s="204"/>
      <c r="O57" s="1"/>
    </row>
    <row r="58" spans="1:23" ht="15" customHeight="1" x14ac:dyDescent="0.25">
      <c r="A58" s="204"/>
      <c r="F58" s="2"/>
      <c r="G58" s="63"/>
      <c r="N58" s="204"/>
      <c r="O58" s="1"/>
    </row>
    <row r="59" spans="1:23" ht="15" customHeight="1" x14ac:dyDescent="0.25">
      <c r="A59" s="204"/>
      <c r="N59" s="204"/>
    </row>
    <row r="60" spans="1:23" ht="15" customHeight="1" x14ac:dyDescent="0.25">
      <c r="A60" s="204"/>
      <c r="N60" s="204"/>
    </row>
    <row r="61" spans="1:23" ht="15" customHeight="1" x14ac:dyDescent="0.25">
      <c r="A61" s="204"/>
      <c r="H61" s="32"/>
      <c r="J61" s="69"/>
      <c r="K61" s="69"/>
      <c r="L61" s="64"/>
      <c r="N61" s="204"/>
    </row>
    <row r="62" spans="1:23" x14ac:dyDescent="0.25">
      <c r="A62" s="204"/>
      <c r="N62" s="204"/>
    </row>
    <row r="63" spans="1:23" ht="15.75" thickBot="1" x14ac:dyDescent="0.3">
      <c r="A63" s="204"/>
      <c r="B63" s="4" t="s">
        <v>245</v>
      </c>
      <c r="D63" s="4"/>
      <c r="E63" s="4"/>
      <c r="F63" s="4"/>
      <c r="G63" s="4"/>
      <c r="H63" s="4"/>
      <c r="I63" s="4"/>
      <c r="N63" s="204"/>
    </row>
    <row r="64" spans="1:23" ht="18" x14ac:dyDescent="0.35">
      <c r="A64" s="204"/>
      <c r="B64" s="37" t="s">
        <v>246</v>
      </c>
      <c r="C64" s="38"/>
      <c r="D64" s="38"/>
      <c r="E64" s="38"/>
      <c r="F64" s="38"/>
      <c r="G64" s="38"/>
      <c r="H64" s="38"/>
      <c r="I64" s="38"/>
      <c r="J64" s="38"/>
      <c r="K64" s="40">
        <f>IFERROR($L$48*($G$25+$G$27),"")</f>
        <v>350.00000000000011</v>
      </c>
      <c r="L64" s="40">
        <f>IFERROR($L$35*($G$26),"")</f>
        <v>1400</v>
      </c>
      <c r="M64" s="85">
        <f>IFERROR(L64+K64,"")</f>
        <v>1750</v>
      </c>
      <c r="N64" s="204"/>
    </row>
    <row r="65" spans="1:14" ht="18" x14ac:dyDescent="0.35">
      <c r="A65" s="204"/>
      <c r="B65" s="39" t="s">
        <v>247</v>
      </c>
      <c r="J65" s="19">
        <f>IFERROR($G$37*($G$25+$G$27),"")</f>
        <v>1750</v>
      </c>
      <c r="K65" s="19">
        <f>IFERROR($L$48*($G$25+$G$27),"")</f>
        <v>350.00000000000011</v>
      </c>
      <c r="L65" s="19">
        <f>IFERROR($L$35*$G$26,"")</f>
        <v>1400</v>
      </c>
      <c r="M65" s="68">
        <f>IFERROR(J65-K65-L65,"")</f>
        <v>0</v>
      </c>
      <c r="N65" s="204"/>
    </row>
    <row r="66" spans="1:14" ht="18" x14ac:dyDescent="0.35">
      <c r="A66" s="204"/>
      <c r="B66" s="39" t="s">
        <v>248</v>
      </c>
      <c r="J66" s="19">
        <f>IFERROR($G$37*($G$25+$G$27),"")</f>
        <v>1750</v>
      </c>
      <c r="K66" s="19">
        <f>IFERROR($L$49*($G$25+$G$27),"")</f>
        <v>349.99999999999994</v>
      </c>
      <c r="L66" s="19">
        <f>IFERROR($L$35*$G$26,"")</f>
        <v>1400</v>
      </c>
      <c r="M66" s="68">
        <f>IFERROR(J66-K66-L66,"")</f>
        <v>0</v>
      </c>
      <c r="N66" s="204"/>
    </row>
    <row r="67" spans="1:14" ht="18.75" thickBot="1" x14ac:dyDescent="0.4">
      <c r="A67" s="204"/>
      <c r="B67" s="7" t="s">
        <v>249</v>
      </c>
      <c r="C67" s="6"/>
      <c r="D67" s="6"/>
      <c r="E67" s="6"/>
      <c r="F67" s="6"/>
      <c r="G67" s="6"/>
      <c r="H67" s="6"/>
      <c r="I67" s="41"/>
      <c r="J67" s="6"/>
      <c r="K67" s="41">
        <f>IFERROR($L$49*($G$25+$G$27),"")</f>
        <v>349.99999999999994</v>
      </c>
      <c r="L67" s="41">
        <f>IFERROR($L$36*($G$26),"")</f>
        <v>1400</v>
      </c>
      <c r="M67" s="86">
        <f>IFERROR(K67+L67,"")</f>
        <v>1750</v>
      </c>
      <c r="N67" s="204"/>
    </row>
    <row r="68" spans="1:14" ht="21.75" customHeight="1" thickBot="1" x14ac:dyDescent="0.4">
      <c r="A68" s="204"/>
      <c r="B68" s="221" t="s">
        <v>152</v>
      </c>
      <c r="C68" s="221"/>
      <c r="D68" s="221"/>
      <c r="E68" s="221"/>
      <c r="F68" s="221"/>
      <c r="G68" s="221"/>
      <c r="H68" s="221"/>
      <c r="I68" s="221"/>
      <c r="J68" s="221"/>
      <c r="K68" s="221"/>
      <c r="L68" s="221"/>
      <c r="M68" s="221"/>
      <c r="N68" s="204"/>
    </row>
    <row r="69" spans="1:14" x14ac:dyDescent="0.25">
      <c r="A69" s="204"/>
      <c r="B69" s="222" t="s">
        <v>250</v>
      </c>
      <c r="C69" s="222"/>
      <c r="D69" s="222"/>
      <c r="E69" s="105">
        <f>IFERROR(IF(G37="N/A","N/A",MAX(IF(K26="N/A",L35,L35*(1/K26)),IF(K27="N/A",L36,L36*(1/K27)),G37,ABS(L48),ABS(L49))),"")</f>
        <v>350</v>
      </c>
      <c r="F69" s="168" t="str">
        <f>IF(B74&lt;&gt;"","**","")</f>
        <v/>
      </c>
      <c r="G69" s="69"/>
      <c r="H69" s="143" t="s">
        <v>154</v>
      </c>
      <c r="I69" s="92" t="str">
        <f>IFERROR(L116,"")</f>
        <v/>
      </c>
      <c r="J69" s="232" t="s">
        <v>155</v>
      </c>
      <c r="K69" s="222"/>
      <c r="L69" s="223"/>
      <c r="M69" s="93" t="str">
        <f>IFERROR(J160,"")</f>
        <v/>
      </c>
      <c r="N69" s="204"/>
    </row>
    <row r="70" spans="1:14" ht="15.75" thickBot="1" x14ac:dyDescent="0.3">
      <c r="A70" s="204"/>
      <c r="B70" s="222" t="s">
        <v>156</v>
      </c>
      <c r="C70" s="222"/>
      <c r="D70" s="222"/>
      <c r="E70" s="87">
        <f>IF(G43="","",MAX(G43:G44))</f>
        <v>1020.8333333333334</v>
      </c>
      <c r="F70" s="69"/>
      <c r="G70" s="69"/>
      <c r="H70" s="143" t="s">
        <v>157</v>
      </c>
      <c r="I70" s="71" t="str">
        <f>IFERROR(L117,"")</f>
        <v/>
      </c>
      <c r="J70" s="222" t="s">
        <v>158</v>
      </c>
      <c r="K70" s="222"/>
      <c r="L70" s="223"/>
      <c r="M70" s="71" t="str">
        <f>IFERROR(J161,"")</f>
        <v/>
      </c>
      <c r="N70" s="204"/>
    </row>
    <row r="71" spans="1:14" x14ac:dyDescent="0.25">
      <c r="A71" s="204"/>
      <c r="B71" s="222" t="s">
        <v>251</v>
      </c>
      <c r="C71" s="222"/>
      <c r="D71" s="222"/>
      <c r="E71" s="127">
        <f>G34</f>
        <v>1750</v>
      </c>
      <c r="I71" s="77"/>
      <c r="J71" s="77"/>
      <c r="K71" s="78"/>
      <c r="L71" s="78"/>
      <c r="M71" s="79"/>
      <c r="N71" s="204"/>
    </row>
    <row r="72" spans="1:14" ht="18.75" thickBot="1" x14ac:dyDescent="0.4">
      <c r="A72" s="204"/>
      <c r="B72" s="222" t="s">
        <v>252</v>
      </c>
      <c r="C72" s="222"/>
      <c r="D72" s="222"/>
      <c r="E72" s="128">
        <f>IFERROR(E24/E28,"")</f>
        <v>175</v>
      </c>
      <c r="G72" s="59"/>
      <c r="H72" s="59"/>
      <c r="I72" s="59"/>
      <c r="J72" s="59"/>
      <c r="K72" s="59"/>
      <c r="L72" s="273" t="str">
        <f>IFERROR(IF($C$150="N/A","Special Design Provisions for Wind and Seismic does not provide a Ga for the Sheathing and Nail Type combination entered. Please review inputs or use the Four Term Equation Deflection calculation.",""),"")</f>
        <v/>
      </c>
      <c r="M72" s="274"/>
      <c r="N72" s="204"/>
    </row>
    <row r="73" spans="1:14" ht="14.45" customHeight="1" x14ac:dyDescent="0.25">
      <c r="A73" s="204"/>
      <c r="B73" s="20"/>
      <c r="G73" s="59"/>
      <c r="H73" s="59"/>
      <c r="I73" s="59"/>
      <c r="J73" s="59"/>
      <c r="K73" s="59"/>
      <c r="L73" s="274"/>
      <c r="M73" s="274"/>
      <c r="N73" s="204"/>
    </row>
    <row r="74" spans="1:14" x14ac:dyDescent="0.25">
      <c r="A74" s="204"/>
      <c r="B74" s="272" t="str">
        <f>IF(OR(E69="",E69="N/A"),"",IF(E69&gt;MAX(G37,L35:L36,ABS(L48),ABS(L49)),"**Req. Sheathing Capacity has been adjusted per the Aspect Ratio Adjustment Factor",""))</f>
        <v/>
      </c>
      <c r="C74" s="264"/>
      <c r="D74" s="264"/>
      <c r="E74" s="264"/>
      <c r="G74" s="15"/>
      <c r="H74" s="15"/>
      <c r="I74" s="15"/>
      <c r="J74" s="15"/>
      <c r="K74" s="15"/>
      <c r="L74" s="274"/>
      <c r="M74" s="274"/>
      <c r="N74" s="204"/>
    </row>
    <row r="75" spans="1:14" x14ac:dyDescent="0.25">
      <c r="A75" s="204"/>
      <c r="B75" s="264"/>
      <c r="C75" s="264"/>
      <c r="D75" s="264"/>
      <c r="E75" s="264"/>
      <c r="F75" s="270" t="s">
        <v>161</v>
      </c>
      <c r="G75" s="271"/>
      <c r="H75" s="271"/>
      <c r="I75" s="271"/>
      <c r="J75" s="271"/>
      <c r="K75" s="271"/>
      <c r="L75" s="134"/>
      <c r="M75" s="134"/>
      <c r="N75" s="204"/>
    </row>
    <row r="76" spans="1:14" x14ac:dyDescent="0.25">
      <c r="A76" s="204"/>
      <c r="B76" s="20"/>
      <c r="G76" s="15"/>
      <c r="H76" s="15"/>
      <c r="I76" s="15"/>
      <c r="J76" s="15"/>
      <c r="K76" s="15"/>
      <c r="L76" s="15"/>
      <c r="M76" s="15"/>
      <c r="N76" s="204"/>
    </row>
    <row r="77" spans="1:14" x14ac:dyDescent="0.25">
      <c r="A77" s="204"/>
      <c r="B77" s="20"/>
      <c r="G77" s="15"/>
      <c r="H77" s="15"/>
      <c r="I77" s="15"/>
      <c r="J77" s="15"/>
      <c r="K77" s="15"/>
      <c r="L77" s="15"/>
      <c r="M77" s="15"/>
      <c r="N77" s="204"/>
    </row>
    <row r="78" spans="1:14" ht="15.75" thickBot="1" x14ac:dyDescent="0.3">
      <c r="A78" s="204"/>
      <c r="B78" s="245" t="s">
        <v>162</v>
      </c>
      <c r="C78" s="245"/>
      <c r="D78" s="245"/>
      <c r="E78" s="245"/>
      <c r="F78" s="6"/>
      <c r="G78" s="6"/>
      <c r="H78" s="6"/>
      <c r="I78" s="6"/>
      <c r="J78" s="6"/>
      <c r="K78" s="6"/>
      <c r="L78" s="6"/>
      <c r="M78" s="6"/>
      <c r="N78" s="204"/>
    </row>
    <row r="79" spans="1:14" ht="18" x14ac:dyDescent="0.35">
      <c r="A79" s="204"/>
      <c r="B79" s="169"/>
      <c r="C79" s="169"/>
      <c r="D79" s="170" t="s">
        <v>253</v>
      </c>
      <c r="E79" s="174"/>
      <c r="F79" t="s">
        <v>164</v>
      </c>
      <c r="N79" s="204"/>
    </row>
    <row r="80" spans="1:14" x14ac:dyDescent="0.25">
      <c r="A80" s="204"/>
      <c r="B80" s="59"/>
      <c r="C80" s="59"/>
      <c r="D80" s="59"/>
      <c r="E80" s="59"/>
      <c r="N80" s="204"/>
    </row>
    <row r="81" spans="1:14" x14ac:dyDescent="0.25">
      <c r="A81" s="204"/>
      <c r="B81" s="32"/>
      <c r="C81" s="59"/>
      <c r="F81" s="241" t="s">
        <v>166</v>
      </c>
      <c r="G81" s="241"/>
      <c r="H81" s="241"/>
      <c r="J81" s="43" t="s">
        <v>167</v>
      </c>
      <c r="K81" s="123"/>
      <c r="L81" t="s">
        <v>169</v>
      </c>
      <c r="N81" s="204"/>
    </row>
    <row r="82" spans="1:14" x14ac:dyDescent="0.25">
      <c r="A82" s="204"/>
      <c r="B82" s="171" t="s">
        <v>170</v>
      </c>
      <c r="C82" s="275"/>
      <c r="D82" s="276"/>
      <c r="F82" s="43" t="s">
        <v>172</v>
      </c>
      <c r="G82" s="242"/>
      <c r="H82" s="243"/>
      <c r="N82" s="204"/>
    </row>
    <row r="83" spans="1:14" x14ac:dyDescent="0.25">
      <c r="A83" s="204"/>
      <c r="B83" s="172" t="s">
        <v>174</v>
      </c>
      <c r="C83" s="248"/>
      <c r="D83" s="276"/>
      <c r="F83" s="43" t="s">
        <v>176</v>
      </c>
      <c r="G83" s="122"/>
      <c r="H83" t="s">
        <v>177</v>
      </c>
      <c r="K83" s="15" t="s">
        <v>178</v>
      </c>
      <c r="L83" s="15" t="s">
        <v>180</v>
      </c>
      <c r="M83" s="15"/>
      <c r="N83" s="204"/>
    </row>
    <row r="84" spans="1:14" x14ac:dyDescent="0.25">
      <c r="A84" s="204"/>
      <c r="B84" s="164"/>
      <c r="C84" s="164"/>
      <c r="F84" s="43"/>
      <c r="G84" s="46"/>
      <c r="H84" s="15"/>
      <c r="J84" s="43" t="s">
        <v>181</v>
      </c>
      <c r="K84" s="123"/>
      <c r="L84" s="89" t="str">
        <f>IF(K84="","",K84)</f>
        <v/>
      </c>
      <c r="M84" t="s">
        <v>182</v>
      </c>
      <c r="N84" s="204"/>
    </row>
    <row r="85" spans="1:14" x14ac:dyDescent="0.25">
      <c r="A85" s="204"/>
      <c r="B85" s="244"/>
      <c r="C85" s="244"/>
      <c r="G85" s="197" t="s">
        <v>183</v>
      </c>
      <c r="H85" s="197"/>
      <c r="J85" s="43" t="s">
        <v>184</v>
      </c>
      <c r="K85" s="123"/>
      <c r="L85" s="89" t="str">
        <f>IF(K85="","",K85)</f>
        <v/>
      </c>
      <c r="M85" t="s">
        <v>164</v>
      </c>
      <c r="N85" s="204"/>
    </row>
    <row r="86" spans="1:14" ht="18" x14ac:dyDescent="0.35">
      <c r="A86" s="204"/>
      <c r="B86" s="173" t="s">
        <v>185</v>
      </c>
      <c r="C86" s="249"/>
      <c r="D86" s="261"/>
      <c r="F86" s="43"/>
      <c r="G86" s="15"/>
      <c r="J86" s="43" t="s">
        <v>186</v>
      </c>
      <c r="K86" s="123"/>
      <c r="L86" s="89" t="str">
        <f>IF(K86="","",K86)</f>
        <v/>
      </c>
      <c r="M86" t="s">
        <v>182</v>
      </c>
      <c r="N86" s="204"/>
    </row>
    <row r="87" spans="1:14" ht="18" x14ac:dyDescent="0.35">
      <c r="A87" s="204"/>
      <c r="B87" s="173" t="s">
        <v>187</v>
      </c>
      <c r="C87" s="249"/>
      <c r="D87" s="261"/>
      <c r="E87" s="2"/>
      <c r="F87" s="2" t="s">
        <v>188</v>
      </c>
      <c r="G87" s="202"/>
      <c r="N87" s="204"/>
    </row>
    <row r="88" spans="1:14" x14ac:dyDescent="0.25">
      <c r="A88" s="204"/>
      <c r="B88" s="43"/>
      <c r="C88" s="2"/>
      <c r="H88" s="15"/>
      <c r="N88" s="204"/>
    </row>
    <row r="89" spans="1:14" x14ac:dyDescent="0.25">
      <c r="A89" s="204"/>
      <c r="B89" s="43"/>
      <c r="C89" s="2"/>
      <c r="H89" s="15"/>
      <c r="N89" s="204"/>
    </row>
    <row r="90" spans="1:14" ht="15.75" thickBot="1" x14ac:dyDescent="0.3">
      <c r="A90" s="204"/>
      <c r="B90" s="245" t="s">
        <v>189</v>
      </c>
      <c r="C90" s="245"/>
      <c r="D90" s="245"/>
      <c r="E90" s="245"/>
      <c r="F90" s="245"/>
      <c r="N90" s="204"/>
    </row>
    <row r="91" spans="1:14" x14ac:dyDescent="0.25">
      <c r="A91" s="204"/>
      <c r="N91" s="204"/>
    </row>
    <row r="92" spans="1:14" x14ac:dyDescent="0.25">
      <c r="A92" s="204"/>
      <c r="N92" s="204"/>
    </row>
    <row r="93" spans="1:14" x14ac:dyDescent="0.25">
      <c r="A93" s="204"/>
      <c r="N93" s="204"/>
    </row>
    <row r="94" spans="1:14" ht="15.75" thickBot="1" x14ac:dyDescent="0.3">
      <c r="A94" s="204"/>
      <c r="C94" s="51" t="s">
        <v>190</v>
      </c>
      <c r="D94" s="52" t="s">
        <v>191</v>
      </c>
      <c r="E94" s="51" t="s">
        <v>192</v>
      </c>
      <c r="F94" s="52" t="s">
        <v>193</v>
      </c>
      <c r="G94" s="15"/>
      <c r="H94" s="69" t="s">
        <v>170</v>
      </c>
      <c r="I94" t="str">
        <f>IF(OR($C$82="",$C$83=""),"",$C$82&amp;" "&amp;$C$83)</f>
        <v/>
      </c>
      <c r="J94" s="15"/>
      <c r="N94" s="204"/>
    </row>
    <row r="95" spans="1:14" ht="18.75" thickTop="1" x14ac:dyDescent="0.35">
      <c r="A95" s="204"/>
      <c r="B95" s="2" t="s">
        <v>196</v>
      </c>
      <c r="C95" s="44" t="str">
        <f>IF(E79="","",IFERROR((E79/E28)*(E25+G47)/E25,""))</f>
        <v/>
      </c>
      <c r="D95" s="25" t="str">
        <f>C95</f>
        <v/>
      </c>
      <c r="E95" s="44" t="str">
        <f>IF(E79="","",IFERROR((E79/E28)*(E26+G48)/E26,""))</f>
        <v/>
      </c>
      <c r="F95" s="25" t="str">
        <f>E95</f>
        <v/>
      </c>
      <c r="G95" s="32" t="s">
        <v>197</v>
      </c>
      <c r="H95" s="158" t="s">
        <v>167</v>
      </c>
      <c r="I95" t="str">
        <f>IF($K$81="","",$K$81)</f>
        <v/>
      </c>
      <c r="J95" s="19"/>
      <c r="N95" s="204"/>
    </row>
    <row r="96" spans="1:14" x14ac:dyDescent="0.25">
      <c r="A96" s="204"/>
      <c r="B96" s="2" t="s">
        <v>176</v>
      </c>
      <c r="C96" s="28" t="str">
        <f>IF($G$83="","",$G$83)</f>
        <v/>
      </c>
      <c r="D96" s="22" t="str">
        <f t="shared" ref="D96:F96" si="0">IF($G$83="","",$G$83)</f>
        <v/>
      </c>
      <c r="E96" s="28" t="str">
        <f t="shared" si="0"/>
        <v/>
      </c>
      <c r="F96" s="22" t="str">
        <f t="shared" si="0"/>
        <v/>
      </c>
      <c r="G96" s="32" t="s">
        <v>177</v>
      </c>
      <c r="H96" s="46"/>
      <c r="J96" s="46"/>
      <c r="N96" s="204"/>
    </row>
    <row r="97" spans="1:14" x14ac:dyDescent="0.25">
      <c r="A97" s="204"/>
      <c r="B97" s="2" t="s">
        <v>198</v>
      </c>
      <c r="C97" s="29">
        <f>IF(E27="","",E27)</f>
        <v>10</v>
      </c>
      <c r="D97" s="23">
        <f>IF(E27="","",E27-G27)</f>
        <v>6</v>
      </c>
      <c r="E97" s="29">
        <f>IF(E27="","",E27-G27)</f>
        <v>6</v>
      </c>
      <c r="F97" s="23">
        <f>E27</f>
        <v>10</v>
      </c>
      <c r="G97" s="32" t="s">
        <v>199</v>
      </c>
      <c r="H97" s="47"/>
      <c r="J97" s="47"/>
      <c r="N97" s="204"/>
    </row>
    <row r="98" spans="1:14" x14ac:dyDescent="0.25">
      <c r="A98" s="204"/>
      <c r="B98" s="2" t="s">
        <v>200</v>
      </c>
      <c r="C98" s="191"/>
      <c r="D98" s="192"/>
      <c r="E98" s="191"/>
      <c r="F98" s="192"/>
      <c r="G98" s="32"/>
      <c r="H98" s="47"/>
      <c r="J98" s="47"/>
      <c r="N98" s="204"/>
    </row>
    <row r="99" spans="1:14" x14ac:dyDescent="0.25">
      <c r="A99" s="204"/>
      <c r="B99" s="2" t="s">
        <v>201</v>
      </c>
      <c r="C99" s="193"/>
      <c r="D99" s="194"/>
      <c r="E99" s="193"/>
      <c r="F99" s="194"/>
      <c r="G99" s="32"/>
      <c r="H99" s="47"/>
      <c r="J99" s="47"/>
      <c r="N99" s="204"/>
    </row>
    <row r="100" spans="1:14" ht="17.25" x14ac:dyDescent="0.25">
      <c r="A100" s="204"/>
      <c r="B100" s="2" t="s">
        <v>203</v>
      </c>
      <c r="C100" s="195"/>
      <c r="D100" s="196"/>
      <c r="E100" s="195"/>
      <c r="F100" s="196"/>
      <c r="G100" s="32" t="s">
        <v>204</v>
      </c>
      <c r="H100" s="47"/>
      <c r="J100" s="47"/>
      <c r="N100" s="204"/>
    </row>
    <row r="101" spans="1:14" ht="15" customHeight="1" x14ac:dyDescent="0.25">
      <c r="A101" s="204"/>
      <c r="B101" s="2" t="s">
        <v>205</v>
      </c>
      <c r="C101" s="30" t="str">
        <f>IF(C$100="",IF(C$99="","",VLOOKUP(C$99,Table2[],2,FALSE)*C$98),C$100)</f>
        <v/>
      </c>
      <c r="D101" s="21" t="str">
        <f>IF(D$100="",IF(D$99="","",VLOOKUP(D$99,Table2[],2,FALSE)*D$98),D$100)</f>
        <v/>
      </c>
      <c r="E101" s="30" t="str">
        <f>IF(E$100="",IF(E$99="","",VLOOKUP(E$99,Table2[],2,FALSE)*E$98),E$100)</f>
        <v/>
      </c>
      <c r="F101" s="21" t="str">
        <f>IF(F$100="",IF(F$99="","",VLOOKUP(F$99,Table2[],2,FALSE)*F$98),F$100)</f>
        <v/>
      </c>
      <c r="G101" s="32" t="s">
        <v>204</v>
      </c>
      <c r="I101" s="90"/>
      <c r="J101" s="90"/>
      <c r="K101" s="90"/>
      <c r="N101" s="204"/>
    </row>
    <row r="102" spans="1:14" ht="18" x14ac:dyDescent="0.35">
      <c r="A102" s="204"/>
      <c r="B102" s="2" t="s">
        <v>206</v>
      </c>
      <c r="C102" s="31" t="str">
        <f>IF($C$86&lt;&gt;"",$C$86,IF(OR(C82="",C83=""),"",(IF($C$82="Other Material",0,(VLOOKUP(C82&amp;C83,Table25,3,FALSE))))))</f>
        <v/>
      </c>
      <c r="D102" s="24" t="str">
        <f>C102</f>
        <v/>
      </c>
      <c r="E102" s="31" t="str">
        <f>C102</f>
        <v/>
      </c>
      <c r="F102" s="24" t="str">
        <f>C102</f>
        <v/>
      </c>
      <c r="G102" s="32" t="s">
        <v>207</v>
      </c>
      <c r="H102" s="90"/>
      <c r="I102" s="90"/>
      <c r="J102" s="90"/>
      <c r="K102" s="90"/>
      <c r="L102" s="90"/>
      <c r="M102" s="90"/>
      <c r="N102" s="204"/>
    </row>
    <row r="103" spans="1:14" x14ac:dyDescent="0.25">
      <c r="A103" s="204"/>
      <c r="B103" s="2" t="s">
        <v>181</v>
      </c>
      <c r="C103" s="30" t="str">
        <f>IF(K84="","",K84)</f>
        <v/>
      </c>
      <c r="D103" s="21" t="str">
        <f>C103</f>
        <v/>
      </c>
      <c r="E103" s="30" t="str">
        <f>L84</f>
        <v/>
      </c>
      <c r="F103" s="21" t="str">
        <f>E103</f>
        <v/>
      </c>
      <c r="G103" s="32" t="s">
        <v>182</v>
      </c>
      <c r="H103" s="90"/>
      <c r="I103" s="90"/>
      <c r="J103" s="90"/>
      <c r="K103" s="90"/>
      <c r="N103" s="204"/>
    </row>
    <row r="104" spans="1:14" ht="18" x14ac:dyDescent="0.35">
      <c r="A104" s="204"/>
      <c r="B104" s="2" t="s">
        <v>208</v>
      </c>
      <c r="C104" s="44" t="str">
        <f>IFERROR(C95/(12/C103),"")</f>
        <v/>
      </c>
      <c r="D104" s="25" t="str">
        <f>IFERROR(D95/(12/D103),"")</f>
        <v/>
      </c>
      <c r="E104" s="44" t="str">
        <f>IFERROR(E95/(12/E103),"")</f>
        <v/>
      </c>
      <c r="F104" s="25" t="str">
        <f>IFERROR(F95/(12/F103),"")</f>
        <v/>
      </c>
      <c r="G104" s="32" t="s">
        <v>197</v>
      </c>
      <c r="H104" s="15"/>
      <c r="J104" s="19"/>
      <c r="N104" s="204"/>
    </row>
    <row r="105" spans="1:14" ht="18" x14ac:dyDescent="0.35">
      <c r="A105" s="204"/>
      <c r="B105" s="2" t="s">
        <v>209</v>
      </c>
      <c r="C105" s="45" t="str">
        <f>IF(OR(K81="",C83="",E79="",C104=""),"",(VLOOKUP(K81&amp;C83,FastenerSlip,7,FALSE)*((C104/VLOOKUP(K81&amp;C83,FastenerSlip,3,FALSE))^VLOOKUP(K81&amp;C83,FastenerSlip,5,FALSE))))</f>
        <v/>
      </c>
      <c r="D105" s="26" t="str">
        <f>C105</f>
        <v/>
      </c>
      <c r="E105" s="45" t="str">
        <f>IF(OR(K81="",C83="",E79="",E104=""),"",(VLOOKUP(K81&amp;C83,FastenerSlip,7,FALSE)*((E104/VLOOKUP(K81&amp;C83,FastenerSlip,3,FALSE))^VLOOKUP(K81&amp;C83,FastenerSlip,5,FALSE))))</f>
        <v/>
      </c>
      <c r="F105" s="26" t="str">
        <f>E105</f>
        <v/>
      </c>
      <c r="G105" s="32" t="s">
        <v>182</v>
      </c>
      <c r="H105" s="49"/>
      <c r="J105" s="49"/>
      <c r="N105" s="204"/>
    </row>
    <row r="106" spans="1:14" x14ac:dyDescent="0.25">
      <c r="A106" s="204"/>
      <c r="B106" s="2" t="s">
        <v>210</v>
      </c>
      <c r="C106" s="29">
        <f>IF(E25="","",E25)</f>
        <v>2.5</v>
      </c>
      <c r="D106" s="23">
        <f>C106</f>
        <v>2.5</v>
      </c>
      <c r="E106" s="29">
        <f>IF(E26="","",E26)</f>
        <v>3.5</v>
      </c>
      <c r="F106" s="23">
        <f>E106</f>
        <v>3.5</v>
      </c>
      <c r="G106" s="32" t="s">
        <v>199</v>
      </c>
      <c r="H106" s="47"/>
      <c r="J106" s="47"/>
      <c r="N106" s="204"/>
    </row>
    <row r="107" spans="1:14" x14ac:dyDescent="0.25">
      <c r="A107" s="204"/>
      <c r="B107" s="2" t="s">
        <v>184</v>
      </c>
      <c r="C107" s="30" t="str">
        <f>IF(K85="","",K85)</f>
        <v/>
      </c>
      <c r="D107" s="21" t="str">
        <f>C107</f>
        <v/>
      </c>
      <c r="E107" s="30" t="str">
        <f>L85</f>
        <v/>
      </c>
      <c r="F107" s="21" t="str">
        <f>E107</f>
        <v/>
      </c>
      <c r="G107" s="32" t="s">
        <v>164</v>
      </c>
      <c r="H107" s="15"/>
      <c r="J107" s="15"/>
      <c r="N107" s="204"/>
    </row>
    <row r="108" spans="1:14" x14ac:dyDescent="0.25">
      <c r="A108" s="204"/>
      <c r="B108" s="2" t="s">
        <v>211</v>
      </c>
      <c r="C108" s="50" t="str">
        <f>IF(K86="","",K86)</f>
        <v/>
      </c>
      <c r="D108" s="27" t="str">
        <f>C108</f>
        <v/>
      </c>
      <c r="E108" s="50" t="str">
        <f>L86</f>
        <v/>
      </c>
      <c r="F108" s="27" t="str">
        <f>E108</f>
        <v/>
      </c>
      <c r="G108" s="32" t="s">
        <v>182</v>
      </c>
      <c r="H108" s="15"/>
      <c r="J108" s="15"/>
      <c r="N108" s="204"/>
    </row>
    <row r="109" spans="1:14" x14ac:dyDescent="0.25">
      <c r="A109" s="204"/>
      <c r="N109" s="204"/>
    </row>
    <row r="110" spans="1:14" ht="15.75" thickBot="1" x14ac:dyDescent="0.3">
      <c r="A110" s="204"/>
      <c r="C110" s="4" t="s">
        <v>212</v>
      </c>
      <c r="N110" s="204"/>
    </row>
    <row r="111" spans="1:14" x14ac:dyDescent="0.25">
      <c r="A111" s="204"/>
      <c r="C111" s="252" t="s">
        <v>213</v>
      </c>
      <c r="D111" s="253"/>
      <c r="E111" s="253"/>
      <c r="F111" s="254"/>
      <c r="G111" s="252" t="s">
        <v>214</v>
      </c>
      <c r="H111" s="253"/>
      <c r="I111" s="253"/>
      <c r="J111" s="254"/>
      <c r="N111" s="204"/>
    </row>
    <row r="112" spans="1:14" x14ac:dyDescent="0.25">
      <c r="A112" s="204"/>
      <c r="C112" s="18" t="s">
        <v>215</v>
      </c>
      <c r="D112" s="17" t="s">
        <v>216</v>
      </c>
      <c r="E112" s="17" t="s">
        <v>217</v>
      </c>
      <c r="F112" s="16" t="s">
        <v>218</v>
      </c>
      <c r="G112" s="18" t="s">
        <v>215</v>
      </c>
      <c r="H112" s="17" t="s">
        <v>216</v>
      </c>
      <c r="I112" s="17" t="s">
        <v>217</v>
      </c>
      <c r="J112" s="16" t="s">
        <v>218</v>
      </c>
      <c r="N112" s="204"/>
    </row>
    <row r="113" spans="1:14" ht="15.75" thickBot="1" x14ac:dyDescent="0.3">
      <c r="A113" s="204"/>
      <c r="C113" s="14" t="s">
        <v>219</v>
      </c>
      <c r="D113" s="13" t="s">
        <v>220</v>
      </c>
      <c r="E113" s="13" t="s">
        <v>221</v>
      </c>
      <c r="F113" s="12" t="s">
        <v>222</v>
      </c>
      <c r="G113" s="14" t="s">
        <v>219</v>
      </c>
      <c r="H113" s="13" t="s">
        <v>220</v>
      </c>
      <c r="I113" s="13" t="s">
        <v>221</v>
      </c>
      <c r="J113" s="12" t="s">
        <v>223</v>
      </c>
      <c r="N113" s="204"/>
    </row>
    <row r="114" spans="1:14" ht="15.75" thickBot="1" x14ac:dyDescent="0.3">
      <c r="A114" s="204"/>
      <c r="C114" s="11" t="str">
        <f>IFERROR(8*C95*C97^3/(C96*C101*C106),"")</f>
        <v/>
      </c>
      <c r="D114" s="10" t="str">
        <f>IFERROR(C95*C97/(C102),"")</f>
        <v/>
      </c>
      <c r="E114" s="10" t="str">
        <f>IFERROR(0.75*C97*C105,"")</f>
        <v/>
      </c>
      <c r="F114" s="9" t="str">
        <f>IFERROR(C108*C95*C97/C107*(C97/C106),"")</f>
        <v/>
      </c>
      <c r="G114" s="11" t="str">
        <f>IFERROR(8*D95*D97^3/(D96*D101*D106),"")</f>
        <v/>
      </c>
      <c r="H114" s="10" t="str">
        <f>IFERROR(D95*D97/(D102),"")</f>
        <v/>
      </c>
      <c r="I114" s="10" t="str">
        <f>IFERROR(0.75*D97*D105,"")</f>
        <v/>
      </c>
      <c r="J114" s="9" t="str">
        <f>IFERROR(D108*D95*D97/D107*(D97/D106),"")</f>
        <v/>
      </c>
      <c r="L114" s="55" t="s">
        <v>227</v>
      </c>
      <c r="N114" s="204"/>
    </row>
    <row r="115" spans="1:14" ht="15.75" thickBot="1" x14ac:dyDescent="0.3">
      <c r="A115" s="204"/>
      <c r="C115" s="7"/>
      <c r="D115" s="6"/>
      <c r="E115" s="54" t="s">
        <v>224</v>
      </c>
      <c r="F115" s="5" t="str">
        <f>IF(OR(C114="",D114="",E114="",F114=""),"",SUM(C114:F114))</f>
        <v/>
      </c>
      <c r="G115" s="7"/>
      <c r="H115" s="6"/>
      <c r="I115" s="54" t="s">
        <v>224</v>
      </c>
      <c r="J115" s="5" t="str">
        <f>IF(OR(G114="",H114="",I114="",J114=""),"",SUM(G114:J114))</f>
        <v/>
      </c>
      <c r="L115" s="56" t="s">
        <v>228</v>
      </c>
      <c r="N115" s="204"/>
    </row>
    <row r="116" spans="1:14" x14ac:dyDescent="0.25">
      <c r="A116" s="204"/>
      <c r="C116" s="252" t="s">
        <v>225</v>
      </c>
      <c r="D116" s="253"/>
      <c r="E116" s="253"/>
      <c r="F116" s="254"/>
      <c r="G116" s="252" t="s">
        <v>226</v>
      </c>
      <c r="H116" s="253"/>
      <c r="I116" s="253"/>
      <c r="J116" s="254"/>
      <c r="L116" s="57" t="str">
        <f>IF(J115="","",AVERAGE(F115,J115,F120,J120))</f>
        <v/>
      </c>
      <c r="M116" t="s">
        <v>182</v>
      </c>
      <c r="N116" s="204"/>
    </row>
    <row r="117" spans="1:14" ht="15.75" thickBot="1" x14ac:dyDescent="0.3">
      <c r="A117" s="204"/>
      <c r="C117" s="18" t="s">
        <v>215</v>
      </c>
      <c r="D117" s="17" t="s">
        <v>216</v>
      </c>
      <c r="E117" s="17" t="s">
        <v>217</v>
      </c>
      <c r="F117" s="16" t="s">
        <v>218</v>
      </c>
      <c r="G117" s="18" t="s">
        <v>215</v>
      </c>
      <c r="H117" s="17" t="s">
        <v>216</v>
      </c>
      <c r="I117" s="17" t="s">
        <v>217</v>
      </c>
      <c r="J117" s="16" t="s">
        <v>218</v>
      </c>
      <c r="L117" s="58" t="str">
        <f>IFERROR(IF(G87="",1,G87)*L116/(C97*12),"")</f>
        <v/>
      </c>
      <c r="M117" t="s">
        <v>231</v>
      </c>
      <c r="N117" s="204"/>
    </row>
    <row r="118" spans="1:14" x14ac:dyDescent="0.25">
      <c r="A118" s="204"/>
      <c r="C118" s="14" t="s">
        <v>219</v>
      </c>
      <c r="D118" s="13" t="s">
        <v>220</v>
      </c>
      <c r="E118" s="13" t="s">
        <v>221</v>
      </c>
      <c r="F118" s="12" t="s">
        <v>222</v>
      </c>
      <c r="G118" s="14" t="s">
        <v>219</v>
      </c>
      <c r="H118" s="13" t="s">
        <v>220</v>
      </c>
      <c r="I118" s="13" t="s">
        <v>221</v>
      </c>
      <c r="J118" s="12" t="s">
        <v>223</v>
      </c>
      <c r="N118" s="204"/>
    </row>
    <row r="119" spans="1:14" ht="15.75" thickBot="1" x14ac:dyDescent="0.3">
      <c r="A119" s="204"/>
      <c r="C119" s="11" t="str">
        <f>IFERROR(8*E95*E97^3/(E96*E101*E106),"")</f>
        <v/>
      </c>
      <c r="D119" s="10" t="str">
        <f>IFERROR(E95*E97/(E102),"")</f>
        <v/>
      </c>
      <c r="E119" s="10" t="str">
        <f>IFERROR(0.75*E97*E105,"")</f>
        <v/>
      </c>
      <c r="F119" s="9" t="str">
        <f>IFERROR(E108*E95*E97/E107*(E97/E106),"")</f>
        <v/>
      </c>
      <c r="G119" s="11" t="str">
        <f>IFERROR(8*F95*F97^3/(F96*F101*F106),"")</f>
        <v/>
      </c>
      <c r="H119" s="10" t="str">
        <f>IFERROR(F95*F97/(F102),"")</f>
        <v/>
      </c>
      <c r="I119" s="10" t="str">
        <f>IFERROR(0.75*F97*F105,"")</f>
        <v/>
      </c>
      <c r="J119" s="9" t="str">
        <f>IFERROR(F108*F95*F97/F107*(F97/F106),"")</f>
        <v/>
      </c>
      <c r="N119" s="204"/>
    </row>
    <row r="120" spans="1:14" ht="15.75" thickBot="1" x14ac:dyDescent="0.3">
      <c r="A120" s="204"/>
      <c r="C120" s="7"/>
      <c r="D120" s="6"/>
      <c r="E120" s="54" t="s">
        <v>224</v>
      </c>
      <c r="F120" s="5" t="str">
        <f>IF(OR(C119="",D119="",E119="",F119=""),"",SUM(C119:F119))</f>
        <v/>
      </c>
      <c r="G120" s="7"/>
      <c r="H120" s="6"/>
      <c r="I120" s="54" t="s">
        <v>224</v>
      </c>
      <c r="J120" s="5" t="str">
        <f>IF(OR(G119="",H119="",I119="",J119=""),"",SUM(G119:J119))</f>
        <v/>
      </c>
      <c r="N120" s="204"/>
    </row>
    <row r="121" spans="1:14" x14ac:dyDescent="0.25">
      <c r="A121" s="204"/>
      <c r="E121" s="2"/>
      <c r="F121" s="20"/>
      <c r="I121" s="2"/>
      <c r="J121" s="20"/>
      <c r="N121" s="204"/>
    </row>
    <row r="122" spans="1:14" x14ac:dyDescent="0.25">
      <c r="A122" s="204"/>
      <c r="E122" s="2"/>
      <c r="F122" s="20"/>
      <c r="I122" s="2"/>
      <c r="J122" s="20"/>
      <c r="N122" s="204"/>
    </row>
    <row r="123" spans="1:14" x14ac:dyDescent="0.25">
      <c r="A123" s="204"/>
      <c r="E123" s="2"/>
      <c r="F123" s="20"/>
      <c r="I123" s="2"/>
      <c r="J123" s="20"/>
      <c r="N123" s="204"/>
    </row>
    <row r="124" spans="1:14" x14ac:dyDescent="0.25">
      <c r="A124" s="204"/>
      <c r="E124" s="2"/>
      <c r="F124" s="20"/>
      <c r="I124" s="2"/>
      <c r="J124" s="20"/>
      <c r="N124" s="204"/>
    </row>
    <row r="125" spans="1:14" x14ac:dyDescent="0.25">
      <c r="A125" s="204"/>
      <c r="E125" s="2"/>
      <c r="F125" s="20"/>
      <c r="I125" s="2"/>
      <c r="J125" s="20"/>
      <c r="N125" s="204"/>
    </row>
    <row r="126" spans="1:14" ht="15.75" thickBot="1" x14ac:dyDescent="0.3">
      <c r="A126" s="204"/>
      <c r="B126" s="245" t="s">
        <v>162</v>
      </c>
      <c r="C126" s="245"/>
      <c r="D126" s="245"/>
      <c r="E126" s="245"/>
      <c r="F126" s="6"/>
      <c r="G126" s="6"/>
      <c r="H126" s="6"/>
      <c r="I126" s="6"/>
      <c r="J126" s="6"/>
      <c r="K126" s="6"/>
      <c r="L126" s="6"/>
      <c r="M126" s="6"/>
      <c r="N126" s="204"/>
    </row>
    <row r="127" spans="1:14" ht="18" x14ac:dyDescent="0.35">
      <c r="A127" s="204"/>
      <c r="B127" s="169"/>
      <c r="C127" s="169"/>
      <c r="D127" s="170" t="s">
        <v>253</v>
      </c>
      <c r="E127" s="176" t="str">
        <f>IF(E79="","",E79)</f>
        <v/>
      </c>
      <c r="F127" t="s">
        <v>164</v>
      </c>
      <c r="N127" s="204"/>
    </row>
    <row r="128" spans="1:14" x14ac:dyDescent="0.25">
      <c r="A128" s="204"/>
      <c r="B128" s="2"/>
      <c r="C128" s="2"/>
      <c r="D128" s="179"/>
      <c r="E128" s="180"/>
      <c r="N128" s="204"/>
    </row>
    <row r="129" spans="1:14" x14ac:dyDescent="0.25">
      <c r="A129" s="204"/>
      <c r="B129" s="2"/>
      <c r="C129" s="2"/>
      <c r="D129" s="179"/>
      <c r="E129" s="180"/>
      <c r="F129" s="236" t="s">
        <v>166</v>
      </c>
      <c r="G129" s="236"/>
      <c r="H129" s="236"/>
      <c r="N129" s="204"/>
    </row>
    <row r="130" spans="1:14" x14ac:dyDescent="0.25">
      <c r="A130" s="204"/>
      <c r="B130" s="2" t="s">
        <v>170</v>
      </c>
      <c r="C130" s="257" t="str">
        <f>IF(C82="","",C82)</f>
        <v/>
      </c>
      <c r="D130" s="258"/>
      <c r="E130" s="180"/>
      <c r="F130" s="2" t="s">
        <v>172</v>
      </c>
      <c r="G130" s="259" t="str">
        <f>IF(G82="","",G82)</f>
        <v/>
      </c>
      <c r="H130" s="260"/>
      <c r="J130" s="2" t="s">
        <v>167</v>
      </c>
      <c r="K130" s="159" t="str">
        <f>IF(K81="","",K81)</f>
        <v/>
      </c>
      <c r="L130" t="s">
        <v>169</v>
      </c>
      <c r="N130" s="204"/>
    </row>
    <row r="131" spans="1:14" x14ac:dyDescent="0.25">
      <c r="A131" s="204"/>
      <c r="B131" s="2" t="s">
        <v>174</v>
      </c>
      <c r="C131" s="259" t="str">
        <f>IF(C83="","",C83)</f>
        <v/>
      </c>
      <c r="D131" s="260"/>
      <c r="E131" s="180"/>
      <c r="F131" s="2" t="s">
        <v>176</v>
      </c>
      <c r="G131" s="163" t="str">
        <f>IF(G83="","",G83)</f>
        <v/>
      </c>
      <c r="H131" t="s">
        <v>177</v>
      </c>
      <c r="N131" s="204"/>
    </row>
    <row r="132" spans="1:14" x14ac:dyDescent="0.25">
      <c r="A132" s="204"/>
      <c r="B132" s="2"/>
      <c r="C132" s="2"/>
      <c r="D132" s="179"/>
      <c r="E132" s="180"/>
      <c r="N132" s="204"/>
    </row>
    <row r="133" spans="1:14" x14ac:dyDescent="0.25">
      <c r="A133" s="204"/>
      <c r="B133" s="2"/>
      <c r="C133" s="2"/>
      <c r="D133" s="179"/>
      <c r="E133" s="180"/>
      <c r="G133" s="15"/>
      <c r="H133" s="15"/>
      <c r="K133" s="15" t="s">
        <v>178</v>
      </c>
      <c r="L133" s="15" t="s">
        <v>180</v>
      </c>
      <c r="N133" s="204"/>
    </row>
    <row r="134" spans="1:14" ht="18" x14ac:dyDescent="0.35">
      <c r="A134" s="204"/>
      <c r="B134" s="2" t="s">
        <v>185</v>
      </c>
      <c r="C134" s="259" t="str">
        <f>IF(C86="","",C86)</f>
        <v/>
      </c>
      <c r="D134" s="260"/>
      <c r="E134" s="180"/>
      <c r="F134" s="2"/>
      <c r="G134" s="15"/>
      <c r="H134" s="15"/>
      <c r="J134" s="2" t="s">
        <v>181</v>
      </c>
      <c r="K134" s="159" t="str">
        <f>IF(K84="","",K84)</f>
        <v/>
      </c>
      <c r="L134" s="159" t="str">
        <f>IF(K134="","",K134)</f>
        <v/>
      </c>
      <c r="M134" t="s">
        <v>182</v>
      </c>
      <c r="N134" s="204"/>
    </row>
    <row r="135" spans="1:14" ht="18" x14ac:dyDescent="0.35">
      <c r="A135" s="204"/>
      <c r="B135" s="2" t="s">
        <v>187</v>
      </c>
      <c r="C135" s="259" t="str">
        <f>IF(C87="","",C87)</f>
        <v/>
      </c>
      <c r="D135" s="260"/>
      <c r="E135" s="180"/>
      <c r="F135" s="2" t="s">
        <v>188</v>
      </c>
      <c r="G135" s="203" t="str">
        <f>IF(G87="","",G87)</f>
        <v/>
      </c>
      <c r="J135" s="2" t="s">
        <v>184</v>
      </c>
      <c r="K135" s="159" t="str">
        <f>IF(K85="","",K85)</f>
        <v/>
      </c>
      <c r="L135" s="159" t="str">
        <f>IF(K135="","",K135)</f>
        <v/>
      </c>
      <c r="M135" t="s">
        <v>164</v>
      </c>
      <c r="N135" s="204"/>
    </row>
    <row r="136" spans="1:14" x14ac:dyDescent="0.25">
      <c r="A136" s="204"/>
      <c r="B136" s="59"/>
      <c r="C136" s="59"/>
      <c r="D136" s="59"/>
      <c r="E136" s="59"/>
      <c r="F136" s="2"/>
      <c r="G136" s="15"/>
      <c r="J136" s="2" t="s">
        <v>186</v>
      </c>
      <c r="K136" s="159" t="str">
        <f>IF(K86="","",K86)</f>
        <v/>
      </c>
      <c r="L136" s="159" t="str">
        <f>IF(K136="","",K136)</f>
        <v/>
      </c>
      <c r="M136" t="s">
        <v>182</v>
      </c>
      <c r="N136" s="204"/>
    </row>
    <row r="137" spans="1:14" x14ac:dyDescent="0.25">
      <c r="A137" s="204"/>
      <c r="E137" s="2"/>
      <c r="F137" s="20"/>
      <c r="I137" s="2"/>
      <c r="J137" s="20"/>
      <c r="N137" s="204"/>
    </row>
    <row r="138" spans="1:14" ht="15.75" thickBot="1" x14ac:dyDescent="0.3">
      <c r="A138" s="204"/>
      <c r="B138" s="245" t="s">
        <v>232</v>
      </c>
      <c r="C138" s="245"/>
      <c r="D138" s="245"/>
      <c r="E138" s="245"/>
      <c r="F138" s="245"/>
      <c r="N138" s="204"/>
    </row>
    <row r="139" spans="1:14" x14ac:dyDescent="0.25">
      <c r="A139" s="204"/>
      <c r="N139" s="204"/>
    </row>
    <row r="140" spans="1:14" x14ac:dyDescent="0.25">
      <c r="A140" s="204"/>
      <c r="N140" s="204"/>
    </row>
    <row r="141" spans="1:14" x14ac:dyDescent="0.25">
      <c r="A141" s="204"/>
      <c r="N141" s="204"/>
    </row>
    <row r="142" spans="1:14" ht="15.75" thickBot="1" x14ac:dyDescent="0.3">
      <c r="A142" s="204"/>
      <c r="C142" s="51" t="s">
        <v>190</v>
      </c>
      <c r="D142" s="52" t="s">
        <v>191</v>
      </c>
      <c r="E142" s="51" t="s">
        <v>192</v>
      </c>
      <c r="F142" s="52" t="s">
        <v>193</v>
      </c>
      <c r="G142" s="15"/>
      <c r="H142" s="69" t="s">
        <v>170</v>
      </c>
      <c r="I142" t="str">
        <f>IF(OR($C$82="",$C$83=""),"",$C$82&amp;" "&amp;$C$83)</f>
        <v/>
      </c>
      <c r="J142" s="15"/>
      <c r="N142" s="204"/>
    </row>
    <row r="143" spans="1:14" ht="18.75" thickTop="1" x14ac:dyDescent="0.35">
      <c r="A143" s="204"/>
      <c r="B143" s="2" t="s">
        <v>196</v>
      </c>
      <c r="C143" s="44" t="str">
        <f>IF(E79="","",IFERROR((E79/E28)*(E25+G47)/E25,""))</f>
        <v/>
      </c>
      <c r="D143" s="25" t="str">
        <f>C143</f>
        <v/>
      </c>
      <c r="E143" s="44" t="str">
        <f>IF(E79="","",IFERROR((E79/E28)*(E26+G48)/E26,""))</f>
        <v/>
      </c>
      <c r="F143" s="25" t="str">
        <f>E143</f>
        <v/>
      </c>
      <c r="G143" s="32" t="s">
        <v>197</v>
      </c>
      <c r="H143" s="158" t="s">
        <v>167</v>
      </c>
      <c r="I143" t="str">
        <f>IF($K$81="","",$K$81)</f>
        <v/>
      </c>
      <c r="J143" s="19"/>
      <c r="N143" s="204"/>
    </row>
    <row r="144" spans="1:14" x14ac:dyDescent="0.25">
      <c r="A144" s="204"/>
      <c r="B144" s="2" t="s">
        <v>176</v>
      </c>
      <c r="C144" s="28" t="str">
        <f>IF($G$83="","",$G$83)</f>
        <v/>
      </c>
      <c r="D144" s="22" t="str">
        <f t="shared" ref="D144:F144" si="1">IF($G$83="","",$G$83)</f>
        <v/>
      </c>
      <c r="E144" s="28" t="str">
        <f t="shared" si="1"/>
        <v/>
      </c>
      <c r="F144" s="22" t="str">
        <f t="shared" si="1"/>
        <v/>
      </c>
      <c r="G144" s="32" t="s">
        <v>177</v>
      </c>
      <c r="H144" s="46"/>
      <c r="J144" s="46"/>
      <c r="N144" s="204"/>
    </row>
    <row r="145" spans="1:14" x14ac:dyDescent="0.25">
      <c r="A145" s="204"/>
      <c r="B145" s="2" t="s">
        <v>198</v>
      </c>
      <c r="C145" s="29">
        <f>E27</f>
        <v>10</v>
      </c>
      <c r="D145" s="23">
        <f>IF(E27="","",E27-G27)</f>
        <v>6</v>
      </c>
      <c r="E145" s="29">
        <f>D145</f>
        <v>6</v>
      </c>
      <c r="F145" s="23">
        <f>E27</f>
        <v>10</v>
      </c>
      <c r="G145" s="32" t="s">
        <v>199</v>
      </c>
      <c r="H145" s="47"/>
      <c r="J145" s="47"/>
      <c r="N145" s="204"/>
    </row>
    <row r="146" spans="1:14" x14ac:dyDescent="0.25">
      <c r="A146" s="204"/>
      <c r="B146" s="2" t="s">
        <v>200</v>
      </c>
      <c r="C146" s="28" t="str">
        <f>IF(C98="","",C98)</f>
        <v/>
      </c>
      <c r="D146" s="22" t="str">
        <f t="shared" ref="D146:F146" si="2">IF(D98="","",D98)</f>
        <v/>
      </c>
      <c r="E146" s="28" t="str">
        <f t="shared" si="2"/>
        <v/>
      </c>
      <c r="F146" s="22" t="str">
        <f t="shared" si="2"/>
        <v/>
      </c>
      <c r="G146" s="32"/>
      <c r="H146" s="47"/>
      <c r="J146" s="47"/>
      <c r="N146" s="204"/>
    </row>
    <row r="147" spans="1:14" x14ac:dyDescent="0.25">
      <c r="A147" s="204"/>
      <c r="B147" s="2" t="s">
        <v>201</v>
      </c>
      <c r="C147" s="30" t="str">
        <f t="shared" ref="C147:F147" si="3">IF(C99="","",C99)</f>
        <v/>
      </c>
      <c r="D147" s="21" t="str">
        <f t="shared" si="3"/>
        <v/>
      </c>
      <c r="E147" s="30" t="str">
        <f t="shared" si="3"/>
        <v/>
      </c>
      <c r="F147" s="21" t="str">
        <f t="shared" si="3"/>
        <v/>
      </c>
      <c r="G147" s="32"/>
      <c r="H147" s="47"/>
      <c r="J147" s="47"/>
      <c r="N147" s="204"/>
    </row>
    <row r="148" spans="1:14" ht="17.25" x14ac:dyDescent="0.25">
      <c r="A148" s="204"/>
      <c r="B148" s="2" t="s">
        <v>203</v>
      </c>
      <c r="C148" s="30" t="str">
        <f t="shared" ref="C148:F148" si="4">IF(C100="","",C100)</f>
        <v/>
      </c>
      <c r="D148" s="21" t="str">
        <f t="shared" si="4"/>
        <v/>
      </c>
      <c r="E148" s="30" t="str">
        <f t="shared" si="4"/>
        <v/>
      </c>
      <c r="F148" s="21" t="str">
        <f t="shared" si="4"/>
        <v/>
      </c>
      <c r="G148" s="32" t="s">
        <v>204</v>
      </c>
      <c r="H148" s="47"/>
      <c r="J148" s="47"/>
      <c r="N148" s="204"/>
    </row>
    <row r="149" spans="1:14" ht="17.25" x14ac:dyDescent="0.25">
      <c r="A149" s="204"/>
      <c r="B149" s="2" t="s">
        <v>205</v>
      </c>
      <c r="C149" s="30" t="str">
        <f t="shared" ref="C149:F149" si="5">IF(C101="","",C101)</f>
        <v/>
      </c>
      <c r="D149" s="21" t="str">
        <f t="shared" si="5"/>
        <v/>
      </c>
      <c r="E149" s="30" t="str">
        <f t="shared" si="5"/>
        <v/>
      </c>
      <c r="F149" s="21" t="str">
        <f t="shared" si="5"/>
        <v/>
      </c>
      <c r="G149" s="32" t="s">
        <v>204</v>
      </c>
      <c r="H149" s="255" t="str">
        <f>IFERROR(IF($C$150="N/A","Special Design Provisions for Wind and Seismic does not provide a Ga for the Sheathing and Nail Type combination entered. Please review inputs or use the Four Term Equation Deflection calculation.",""),"")</f>
        <v/>
      </c>
      <c r="I149" s="256"/>
      <c r="J149" s="256"/>
      <c r="K149" s="256"/>
      <c r="L149" s="228"/>
      <c r="N149" s="204"/>
    </row>
    <row r="150" spans="1:14" ht="18" x14ac:dyDescent="0.35">
      <c r="A150" s="204"/>
      <c r="B150" s="2" t="s">
        <v>233</v>
      </c>
      <c r="C150" s="75" t="str">
        <f>IF(C87&lt;&gt;"",C87,IF(OR(C82="",C83="",K81="",K84=""),"",IF($C$82="Other Material",0,(VLOOKUP(C82&amp;C83&amp;K81&amp;K84,Table50,3,FALSE)))))</f>
        <v/>
      </c>
      <c r="D150" s="76" t="str">
        <f>C150</f>
        <v/>
      </c>
      <c r="E150" s="75" t="str">
        <f>C150</f>
        <v/>
      </c>
      <c r="F150" s="76" t="str">
        <f>C150</f>
        <v/>
      </c>
      <c r="G150" s="32" t="s">
        <v>234</v>
      </c>
      <c r="H150" s="256"/>
      <c r="I150" s="256"/>
      <c r="J150" s="256"/>
      <c r="K150" s="256"/>
      <c r="L150" s="228"/>
      <c r="N150" s="204"/>
    </row>
    <row r="151" spans="1:14" x14ac:dyDescent="0.25">
      <c r="A151" s="204"/>
      <c r="B151" s="2" t="s">
        <v>210</v>
      </c>
      <c r="C151" s="29">
        <f>IF(E25="","",E25)</f>
        <v>2.5</v>
      </c>
      <c r="D151" s="23">
        <f>C151</f>
        <v>2.5</v>
      </c>
      <c r="E151" s="29">
        <f>IF(E26="","",E26)</f>
        <v>3.5</v>
      </c>
      <c r="F151" s="23">
        <f>E151</f>
        <v>3.5</v>
      </c>
      <c r="G151" s="32" t="s">
        <v>199</v>
      </c>
      <c r="H151" s="256"/>
      <c r="I151" s="256"/>
      <c r="J151" s="256"/>
      <c r="K151" s="256"/>
      <c r="L151" s="228"/>
      <c r="M151" s="19"/>
      <c r="N151" s="204"/>
    </row>
    <row r="152" spans="1:14" x14ac:dyDescent="0.25">
      <c r="A152" s="204"/>
      <c r="B152" s="2" t="s">
        <v>184</v>
      </c>
      <c r="C152" s="44" t="str">
        <f>IF($K$85="","",$K$85)</f>
        <v/>
      </c>
      <c r="D152" s="21" t="str">
        <f>C152</f>
        <v/>
      </c>
      <c r="E152" s="30" t="str">
        <f>L85</f>
        <v/>
      </c>
      <c r="F152" s="21" t="str">
        <f>E152</f>
        <v/>
      </c>
      <c r="G152" s="32" t="s">
        <v>164</v>
      </c>
      <c r="H152" s="15"/>
      <c r="J152" s="15"/>
      <c r="N152" s="204"/>
    </row>
    <row r="153" spans="1:14" x14ac:dyDescent="0.25">
      <c r="A153" s="204"/>
      <c r="B153" s="2" t="s">
        <v>211</v>
      </c>
      <c r="C153" s="50" t="str">
        <f>IF($K$86="","",$K$86)</f>
        <v/>
      </c>
      <c r="D153" s="27" t="str">
        <f>C153</f>
        <v/>
      </c>
      <c r="E153" s="50" t="str">
        <f>L86</f>
        <v/>
      </c>
      <c r="F153" s="27" t="str">
        <f>E153</f>
        <v/>
      </c>
      <c r="G153" s="32" t="s">
        <v>182</v>
      </c>
      <c r="H153" s="15"/>
      <c r="J153" s="15"/>
      <c r="N153" s="204"/>
    </row>
    <row r="154" spans="1:14" x14ac:dyDescent="0.25">
      <c r="A154" s="204"/>
      <c r="N154" s="204"/>
    </row>
    <row r="155" spans="1:14" ht="15.75" thickBot="1" x14ac:dyDescent="0.3">
      <c r="A155" s="204"/>
      <c r="C155" s="4" t="s">
        <v>212</v>
      </c>
      <c r="N155" s="204"/>
    </row>
    <row r="156" spans="1:14" x14ac:dyDescent="0.25">
      <c r="A156" s="204"/>
      <c r="C156" s="252" t="s">
        <v>213</v>
      </c>
      <c r="D156" s="253"/>
      <c r="E156" s="254"/>
      <c r="F156" s="252" t="s">
        <v>214</v>
      </c>
      <c r="G156" s="253"/>
      <c r="H156" s="254"/>
      <c r="N156" s="204"/>
    </row>
    <row r="157" spans="1:14" ht="15.75" thickBot="1" x14ac:dyDescent="0.3">
      <c r="A157" s="204"/>
      <c r="C157" s="18" t="s">
        <v>215</v>
      </c>
      <c r="D157" s="17" t="s">
        <v>216</v>
      </c>
      <c r="E157" s="17" t="s">
        <v>217</v>
      </c>
      <c r="F157" s="18" t="s">
        <v>215</v>
      </c>
      <c r="G157" s="17" t="s">
        <v>216</v>
      </c>
      <c r="H157" s="16" t="s">
        <v>217</v>
      </c>
      <c r="N157" s="204"/>
    </row>
    <row r="158" spans="1:14" x14ac:dyDescent="0.25">
      <c r="A158" s="204"/>
      <c r="C158" s="14" t="s">
        <v>219</v>
      </c>
      <c r="D158" s="13" t="s">
        <v>220</v>
      </c>
      <c r="E158" s="13" t="s">
        <v>221</v>
      </c>
      <c r="F158" s="14" t="s">
        <v>219</v>
      </c>
      <c r="G158" s="13" t="s">
        <v>220</v>
      </c>
      <c r="H158" s="12" t="s">
        <v>221</v>
      </c>
      <c r="J158" s="55" t="s">
        <v>227</v>
      </c>
      <c r="N158" s="204"/>
    </row>
    <row r="159" spans="1:14" ht="15.75" thickBot="1" x14ac:dyDescent="0.3">
      <c r="A159" s="204"/>
      <c r="C159" s="11" t="str">
        <f>IFERROR(8*C143*C145^3/(C144*C149*C151),"")</f>
        <v/>
      </c>
      <c r="D159" s="10" t="str">
        <f>IFERROR(C143*C145/(C150*1000),"")</f>
        <v/>
      </c>
      <c r="E159" s="9" t="str">
        <f>IFERROR(C153*C143*C145/C152*(C145/C151),"")</f>
        <v/>
      </c>
      <c r="F159" s="11" t="str">
        <f>IFERROR(8*D143*D145^3/(D144*D149*D151),"")</f>
        <v/>
      </c>
      <c r="G159" s="10" t="str">
        <f>IFERROR(D143*D145/(D150*1000),"")</f>
        <v/>
      </c>
      <c r="H159" s="9" t="str">
        <f>IFERROR(D153*D143*D145/D152*(D145/D151),"")</f>
        <v/>
      </c>
      <c r="J159" s="56" t="s">
        <v>228</v>
      </c>
      <c r="L159" s="15"/>
      <c r="N159" s="204"/>
    </row>
    <row r="160" spans="1:14" ht="15.75" thickBot="1" x14ac:dyDescent="0.3">
      <c r="A160" s="204"/>
      <c r="C160" s="8"/>
      <c r="D160" s="54" t="s">
        <v>224</v>
      </c>
      <c r="E160" s="5" t="str">
        <f>IF(OR(C159="",D159="",E159=""),"",SUM(C159:E159))</f>
        <v/>
      </c>
      <c r="F160" s="7"/>
      <c r="G160" s="54" t="s">
        <v>224</v>
      </c>
      <c r="H160" s="5" t="str">
        <f>IF(OR(F159="",G159="",H159=""),"",SUM(F159:H159))</f>
        <v/>
      </c>
      <c r="J160" s="57" t="str">
        <f>IF(H160="","",AVERAGE(E160,H160,E165,H165))</f>
        <v/>
      </c>
      <c r="K160" t="s">
        <v>182</v>
      </c>
      <c r="L160" s="15"/>
      <c r="N160" s="204"/>
    </row>
    <row r="161" spans="1:14" ht="15.75" thickBot="1" x14ac:dyDescent="0.3">
      <c r="A161" s="204"/>
      <c r="C161" s="252" t="s">
        <v>225</v>
      </c>
      <c r="D161" s="253"/>
      <c r="E161" s="254"/>
      <c r="F161" s="252" t="s">
        <v>226</v>
      </c>
      <c r="G161" s="253"/>
      <c r="H161" s="254"/>
      <c r="J161" s="58" t="str">
        <f>IFERROR(IF(G87="",1,G87)*J160/(C145*12),"")</f>
        <v/>
      </c>
      <c r="K161" t="s">
        <v>231</v>
      </c>
      <c r="L161" s="82"/>
      <c r="M161" s="82"/>
      <c r="N161" s="204"/>
    </row>
    <row r="162" spans="1:14" x14ac:dyDescent="0.25">
      <c r="A162" s="204"/>
      <c r="C162" s="18" t="s">
        <v>215</v>
      </c>
      <c r="D162" s="17" t="s">
        <v>216</v>
      </c>
      <c r="E162" s="17" t="s">
        <v>217</v>
      </c>
      <c r="F162" s="18" t="s">
        <v>215</v>
      </c>
      <c r="G162" s="17" t="s">
        <v>216</v>
      </c>
      <c r="H162" s="16" t="s">
        <v>217</v>
      </c>
      <c r="K162" s="82"/>
      <c r="L162" s="82"/>
      <c r="M162" s="82"/>
      <c r="N162" s="204"/>
    </row>
    <row r="163" spans="1:14" x14ac:dyDescent="0.25">
      <c r="A163" s="204"/>
      <c r="C163" s="14" t="s">
        <v>219</v>
      </c>
      <c r="D163" s="13" t="s">
        <v>220</v>
      </c>
      <c r="E163" s="13" t="s">
        <v>221</v>
      </c>
      <c r="F163" s="14" t="s">
        <v>219</v>
      </c>
      <c r="G163" s="13" t="s">
        <v>220</v>
      </c>
      <c r="H163" s="12" t="s">
        <v>221</v>
      </c>
      <c r="N163" s="204"/>
    </row>
    <row r="164" spans="1:14" ht="15.75" thickBot="1" x14ac:dyDescent="0.3">
      <c r="A164" s="204"/>
      <c r="C164" s="11" t="str">
        <f>IFERROR(8*E143*E145^3/(E144*E149*E151),"")</f>
        <v/>
      </c>
      <c r="D164" s="10" t="str">
        <f>IFERROR(E143*E145/(E150*1000),"")</f>
        <v/>
      </c>
      <c r="E164" s="9" t="str">
        <f>IFERROR(E153*E143*E145/E152*(E145/E151),"")</f>
        <v/>
      </c>
      <c r="F164" s="11" t="str">
        <f>IFERROR(8*F143*F145^3/(F144*F149*F151),"")</f>
        <v/>
      </c>
      <c r="G164" s="10" t="str">
        <f>IFERROR(F143*F145/(F150*1000),"")</f>
        <v/>
      </c>
      <c r="H164" s="9" t="str">
        <f>IFERROR(F153*F143*F145/F152*(F145/F151),"")</f>
        <v/>
      </c>
      <c r="N164" s="204"/>
    </row>
    <row r="165" spans="1:14" ht="15.75" thickBot="1" x14ac:dyDescent="0.3">
      <c r="A165" s="204"/>
      <c r="C165" s="8"/>
      <c r="D165" s="54" t="s">
        <v>224</v>
      </c>
      <c r="E165" s="5" t="str">
        <f>IF(OR(C164="",D164="",E164=""),"",SUM(C164:E164))</f>
        <v/>
      </c>
      <c r="F165" s="7"/>
      <c r="G165" s="54" t="s">
        <v>224</v>
      </c>
      <c r="H165" s="5" t="str">
        <f>IF(OR(F164="",G164="",H164=""),"",SUM(F164:H164))</f>
        <v/>
      </c>
      <c r="N165" s="204"/>
    </row>
    <row r="166" spans="1:14" x14ac:dyDescent="0.25">
      <c r="A166" s="204"/>
      <c r="C166" s="236"/>
      <c r="D166" s="236"/>
      <c r="E166" s="236"/>
      <c r="F166" s="253"/>
      <c r="G166" s="253"/>
      <c r="H166" s="253"/>
      <c r="N166" s="204"/>
    </row>
    <row r="167" spans="1:14" ht="15" customHeight="1" x14ac:dyDescent="0.25">
      <c r="A167" s="204"/>
      <c r="B167" s="269" t="s">
        <v>235</v>
      </c>
      <c r="C167" s="269"/>
      <c r="D167" s="269"/>
      <c r="E167" s="269"/>
      <c r="F167" s="269"/>
      <c r="G167" s="269"/>
      <c r="H167" s="269"/>
      <c r="I167" s="269"/>
      <c r="J167" s="269"/>
      <c r="K167" s="269"/>
      <c r="L167" s="269"/>
      <c r="M167" s="269"/>
      <c r="N167" s="204"/>
    </row>
    <row r="168" spans="1:14" x14ac:dyDescent="0.25">
      <c r="A168" s="98"/>
      <c r="B168" s="102"/>
      <c r="C168" s="102"/>
      <c r="D168" s="102"/>
      <c r="E168" s="102"/>
      <c r="F168" s="102"/>
      <c r="G168" s="102"/>
      <c r="H168" s="102"/>
      <c r="I168" s="102"/>
      <c r="J168" s="102"/>
      <c r="K168" s="102"/>
      <c r="L168" s="102"/>
      <c r="M168" s="102"/>
      <c r="N168" s="98"/>
    </row>
    <row r="169" spans="1:14" ht="15.75" thickBot="1" x14ac:dyDescent="0.3">
      <c r="A169" s="98"/>
      <c r="B169" s="208" t="s">
        <v>76</v>
      </c>
      <c r="C169" s="208"/>
      <c r="D169" s="208"/>
      <c r="E169" s="208"/>
      <c r="F169" s="208"/>
      <c r="G169" s="208"/>
      <c r="H169" s="208"/>
      <c r="I169" s="208"/>
      <c r="J169" s="208"/>
      <c r="K169" s="208"/>
      <c r="L169" s="208"/>
      <c r="M169" s="208"/>
      <c r="N169" s="98"/>
    </row>
    <row r="170" spans="1:14" ht="15" customHeight="1" x14ac:dyDescent="0.25">
      <c r="A170" s="98"/>
      <c r="B170" s="212" t="s">
        <v>254</v>
      </c>
      <c r="C170" s="212"/>
      <c r="D170" s="212"/>
      <c r="E170" s="212"/>
      <c r="F170" s="212"/>
      <c r="G170" s="212"/>
      <c r="H170" s="212"/>
      <c r="I170" s="212"/>
      <c r="J170" s="212"/>
      <c r="K170" s="212"/>
      <c r="L170" s="212"/>
      <c r="M170" s="212"/>
      <c r="N170" s="98"/>
    </row>
    <row r="171" spans="1:14" x14ac:dyDescent="0.25">
      <c r="A171" s="98"/>
      <c r="B171" s="251"/>
      <c r="C171" s="251"/>
      <c r="D171" s="251"/>
      <c r="E171" s="251"/>
      <c r="F171" s="251"/>
      <c r="G171" s="251"/>
      <c r="H171" s="251"/>
      <c r="I171" s="251"/>
      <c r="J171" s="251"/>
      <c r="K171" s="251"/>
      <c r="L171" s="251"/>
      <c r="M171" s="251"/>
      <c r="N171" s="98"/>
    </row>
    <row r="172" spans="1:14" x14ac:dyDescent="0.25">
      <c r="A172" s="98"/>
      <c r="B172" s="251"/>
      <c r="C172" s="251"/>
      <c r="D172" s="251"/>
      <c r="E172" s="251"/>
      <c r="F172" s="251"/>
      <c r="G172" s="251"/>
      <c r="H172" s="251"/>
      <c r="I172" s="251"/>
      <c r="J172" s="251"/>
      <c r="K172" s="251"/>
      <c r="L172" s="251"/>
      <c r="M172" s="251"/>
      <c r="N172" s="98"/>
    </row>
    <row r="173" spans="1:14" ht="15" customHeight="1" x14ac:dyDescent="0.25">
      <c r="A173" s="98"/>
      <c r="B173" s="251"/>
      <c r="C173" s="251"/>
      <c r="D173" s="251"/>
      <c r="E173" s="251"/>
      <c r="F173" s="251"/>
      <c r="G173" s="251"/>
      <c r="H173" s="251"/>
      <c r="I173" s="251"/>
      <c r="J173" s="251"/>
      <c r="K173" s="251"/>
      <c r="L173" s="251"/>
      <c r="M173" s="251"/>
      <c r="N173" s="98"/>
    </row>
    <row r="174" spans="1:14" x14ac:dyDescent="0.25">
      <c r="A174" s="98"/>
      <c r="B174" s="268"/>
      <c r="C174" s="268"/>
      <c r="D174" s="268"/>
      <c r="E174" s="268"/>
      <c r="F174" s="268"/>
      <c r="G174" s="268"/>
      <c r="H174" s="268"/>
      <c r="I174" s="268"/>
      <c r="J174" s="268"/>
      <c r="K174" s="268"/>
      <c r="L174" s="268"/>
      <c r="M174" s="268"/>
      <c r="N174" s="98"/>
    </row>
    <row r="175" spans="1:14" s="106" customFormat="1" x14ac:dyDescent="0.25">
      <c r="B175" s="268"/>
      <c r="C175" s="268"/>
      <c r="D175" s="268"/>
      <c r="E175" s="268"/>
      <c r="F175" s="268"/>
      <c r="G175" s="268"/>
      <c r="H175" s="268"/>
      <c r="I175" s="268"/>
      <c r="J175" s="268"/>
      <c r="K175" s="268"/>
      <c r="L175" s="268"/>
      <c r="M175" s="268"/>
    </row>
    <row r="176" spans="1:14" s="106" customFormat="1" x14ac:dyDescent="0.25">
      <c r="B176" s="268"/>
      <c r="C176" s="268"/>
      <c r="D176" s="268"/>
      <c r="E176" s="268"/>
      <c r="F176" s="268"/>
      <c r="G176" s="268"/>
      <c r="H176" s="268"/>
      <c r="I176" s="268"/>
      <c r="J176" s="268"/>
      <c r="K176" s="268"/>
      <c r="L176" s="268"/>
      <c r="M176" s="268"/>
    </row>
    <row r="177" spans="2:13" s="106" customFormat="1" x14ac:dyDescent="0.25">
      <c r="B177" s="268"/>
      <c r="C177" s="268"/>
      <c r="D177" s="268"/>
      <c r="E177" s="268"/>
      <c r="F177" s="268"/>
      <c r="G177" s="268"/>
      <c r="H177" s="268"/>
      <c r="I177" s="268"/>
      <c r="J177" s="268"/>
      <c r="K177" s="268"/>
      <c r="L177" s="268"/>
      <c r="M177" s="268"/>
    </row>
    <row r="178" spans="2:13" s="106" customFormat="1" x14ac:dyDescent="0.25">
      <c r="B178" s="268"/>
      <c r="C178" s="268"/>
      <c r="D178" s="268"/>
      <c r="E178" s="268"/>
      <c r="F178" s="268"/>
      <c r="G178" s="268"/>
      <c r="H178" s="268"/>
      <c r="I178" s="268"/>
      <c r="J178" s="268"/>
      <c r="K178" s="268"/>
      <c r="L178" s="268"/>
      <c r="M178" s="268"/>
    </row>
    <row r="179" spans="2:13" s="106" customFormat="1" x14ac:dyDescent="0.25">
      <c r="B179" s="268"/>
      <c r="C179" s="268"/>
      <c r="D179" s="268"/>
      <c r="E179" s="268"/>
      <c r="F179" s="268"/>
      <c r="G179" s="268"/>
      <c r="H179" s="268"/>
      <c r="I179" s="268"/>
      <c r="J179" s="268"/>
      <c r="K179" s="268"/>
      <c r="L179" s="268"/>
      <c r="M179" s="268"/>
    </row>
    <row r="180" spans="2:13" s="106" customFormat="1" x14ac:dyDescent="0.25">
      <c r="B180" s="268"/>
      <c r="C180" s="268"/>
      <c r="D180" s="268"/>
      <c r="E180" s="268"/>
      <c r="F180" s="268"/>
      <c r="G180" s="268"/>
      <c r="H180" s="268"/>
      <c r="I180" s="268"/>
      <c r="J180" s="268"/>
      <c r="K180" s="268"/>
      <c r="L180" s="268"/>
      <c r="M180" s="268"/>
    </row>
    <row r="181" spans="2:13" s="106" customFormat="1" x14ac:dyDescent="0.25">
      <c r="B181" s="268"/>
      <c r="C181" s="268"/>
      <c r="D181" s="268"/>
      <c r="E181" s="268"/>
      <c r="F181" s="268"/>
      <c r="G181" s="268"/>
      <c r="H181" s="268"/>
      <c r="I181" s="268"/>
      <c r="J181" s="268"/>
      <c r="K181" s="268"/>
      <c r="L181" s="268"/>
      <c r="M181" s="268"/>
    </row>
    <row r="182" spans="2:13" s="106" customFormat="1" x14ac:dyDescent="0.25">
      <c r="B182" s="268"/>
      <c r="C182" s="268"/>
      <c r="D182" s="268"/>
      <c r="E182" s="268"/>
      <c r="F182" s="268"/>
      <c r="G182" s="268"/>
      <c r="H182" s="268"/>
      <c r="I182" s="268"/>
      <c r="J182" s="268"/>
      <c r="K182" s="268"/>
      <c r="L182" s="268"/>
      <c r="M182" s="268"/>
    </row>
    <row r="183" spans="2:13" s="106" customFormat="1" x14ac:dyDescent="0.25">
      <c r="B183" s="268"/>
      <c r="C183" s="268"/>
      <c r="D183" s="268"/>
      <c r="E183" s="268"/>
      <c r="F183" s="268"/>
      <c r="G183" s="268"/>
      <c r="H183" s="268"/>
      <c r="I183" s="268"/>
      <c r="J183" s="268"/>
      <c r="K183" s="268"/>
      <c r="L183" s="268"/>
      <c r="M183" s="268"/>
    </row>
    <row r="184" spans="2:13" s="106" customFormat="1" x14ac:dyDescent="0.25">
      <c r="B184" s="268"/>
      <c r="C184" s="268"/>
      <c r="D184" s="268"/>
      <c r="E184" s="268"/>
      <c r="F184" s="268"/>
      <c r="G184" s="268"/>
      <c r="H184" s="268"/>
      <c r="I184" s="268"/>
      <c r="J184" s="268"/>
      <c r="K184" s="268"/>
      <c r="L184" s="268"/>
      <c r="M184" s="268"/>
    </row>
    <row r="185" spans="2:13" s="106" customFormat="1" x14ac:dyDescent="0.25">
      <c r="B185" s="268"/>
      <c r="C185" s="268"/>
      <c r="D185" s="268"/>
      <c r="E185" s="268"/>
      <c r="F185" s="268"/>
      <c r="G185" s="268"/>
      <c r="H185" s="268"/>
      <c r="I185" s="268"/>
      <c r="J185" s="268"/>
      <c r="K185" s="268"/>
      <c r="L185" s="268"/>
      <c r="M185" s="268"/>
    </row>
    <row r="186" spans="2:13" s="106" customFormat="1" x14ac:dyDescent="0.25">
      <c r="B186" s="268"/>
      <c r="C186" s="268"/>
      <c r="D186" s="268"/>
      <c r="E186" s="268"/>
      <c r="F186" s="268"/>
      <c r="G186" s="268"/>
      <c r="H186" s="268"/>
      <c r="I186" s="268"/>
      <c r="J186" s="268"/>
      <c r="K186" s="268"/>
      <c r="L186" s="268"/>
      <c r="M186" s="268"/>
    </row>
    <row r="187" spans="2:13" s="106" customFormat="1" x14ac:dyDescent="0.25">
      <c r="B187" s="268"/>
      <c r="C187" s="268"/>
      <c r="D187" s="268"/>
      <c r="E187" s="268"/>
      <c r="F187" s="268"/>
      <c r="G187" s="268"/>
      <c r="H187" s="268"/>
      <c r="I187" s="268"/>
      <c r="J187" s="268"/>
      <c r="K187" s="268"/>
      <c r="L187" s="268"/>
      <c r="M187" s="268"/>
    </row>
    <row r="188" spans="2:13" s="106" customFormat="1" x14ac:dyDescent="0.25">
      <c r="B188" s="268"/>
      <c r="C188" s="268"/>
      <c r="D188" s="268"/>
      <c r="E188" s="268"/>
      <c r="F188" s="268"/>
      <c r="G188" s="268"/>
      <c r="H188" s="268"/>
      <c r="I188" s="268"/>
      <c r="J188" s="268"/>
      <c r="K188" s="268"/>
      <c r="L188" s="268"/>
      <c r="M188" s="268"/>
    </row>
    <row r="189" spans="2:13" s="106" customFormat="1" x14ac:dyDescent="0.25">
      <c r="B189" s="213"/>
      <c r="C189" s="213"/>
      <c r="D189" s="213"/>
      <c r="E189" s="213"/>
      <c r="F189" s="213"/>
      <c r="G189" s="213"/>
      <c r="H189" s="213"/>
      <c r="I189" s="213"/>
      <c r="J189" s="213"/>
      <c r="K189" s="213"/>
      <c r="L189" s="213"/>
      <c r="M189" s="213"/>
    </row>
    <row r="190" spans="2:13" s="106" customFormat="1" x14ac:dyDescent="0.25">
      <c r="B190" s="213"/>
      <c r="C190" s="213"/>
      <c r="D190" s="213"/>
      <c r="E190" s="213"/>
      <c r="F190" s="213"/>
      <c r="G190" s="213"/>
      <c r="H190" s="213"/>
      <c r="I190" s="213"/>
      <c r="J190" s="213"/>
      <c r="K190" s="213"/>
      <c r="L190" s="213"/>
      <c r="M190" s="213"/>
    </row>
    <row r="191" spans="2:13" s="106" customFormat="1" x14ac:dyDescent="0.25">
      <c r="B191" s="213"/>
      <c r="C191" s="213"/>
      <c r="D191" s="213"/>
      <c r="E191" s="213"/>
      <c r="F191" s="213"/>
      <c r="G191" s="213"/>
      <c r="H191" s="213"/>
      <c r="I191" s="213"/>
      <c r="J191" s="213"/>
      <c r="K191" s="213"/>
      <c r="L191" s="213"/>
      <c r="M191" s="213"/>
    </row>
    <row r="192" spans="2:13" s="106" customFormat="1" x14ac:dyDescent="0.25">
      <c r="B192" s="213"/>
      <c r="C192" s="213"/>
      <c r="D192" s="213"/>
      <c r="E192" s="213"/>
      <c r="F192" s="213"/>
      <c r="G192" s="213"/>
      <c r="H192" s="213"/>
      <c r="I192" s="213"/>
      <c r="J192" s="213"/>
      <c r="K192" s="213"/>
      <c r="L192" s="213"/>
      <c r="M192" s="213"/>
    </row>
    <row r="193" spans="2:13" s="106" customFormat="1" x14ac:dyDescent="0.25">
      <c r="B193" s="213"/>
      <c r="C193" s="213"/>
      <c r="D193" s="213"/>
      <c r="E193" s="213"/>
      <c r="F193" s="213"/>
      <c r="G193" s="213"/>
      <c r="H193" s="213"/>
      <c r="I193" s="213"/>
      <c r="J193" s="213"/>
      <c r="K193" s="213"/>
      <c r="L193" s="213"/>
      <c r="M193" s="213"/>
    </row>
    <row r="194" spans="2:13" s="106" customFormat="1" x14ac:dyDescent="0.25">
      <c r="B194" s="213"/>
      <c r="C194" s="213"/>
      <c r="D194" s="213"/>
      <c r="E194" s="213"/>
      <c r="F194" s="213"/>
      <c r="G194" s="213"/>
      <c r="H194" s="213"/>
      <c r="I194" s="213"/>
      <c r="J194" s="213"/>
      <c r="K194" s="213"/>
      <c r="L194" s="213"/>
      <c r="M194" s="213"/>
    </row>
    <row r="195" spans="2:13" s="106" customFormat="1" x14ac:dyDescent="0.25">
      <c r="B195" s="213"/>
      <c r="C195" s="213"/>
      <c r="D195" s="213"/>
      <c r="E195" s="213"/>
      <c r="F195" s="213"/>
      <c r="G195" s="213"/>
      <c r="H195" s="213"/>
      <c r="I195" s="213"/>
      <c r="J195" s="213"/>
      <c r="K195" s="213"/>
      <c r="L195" s="213"/>
      <c r="M195" s="213"/>
    </row>
    <row r="196" spans="2:13" s="106" customFormat="1" x14ac:dyDescent="0.25">
      <c r="B196" s="213"/>
      <c r="C196" s="213"/>
      <c r="D196" s="213"/>
      <c r="E196" s="213"/>
      <c r="F196" s="213"/>
      <c r="G196" s="213"/>
      <c r="H196" s="213"/>
      <c r="I196" s="213"/>
      <c r="J196" s="213"/>
      <c r="K196" s="213"/>
      <c r="L196" s="213"/>
      <c r="M196" s="213"/>
    </row>
    <row r="197" spans="2:13" s="106" customFormat="1" x14ac:dyDescent="0.25">
      <c r="B197" s="213"/>
      <c r="C197" s="213"/>
      <c r="D197" s="213"/>
      <c r="E197" s="213"/>
      <c r="F197" s="213"/>
      <c r="G197" s="213"/>
      <c r="H197" s="213"/>
      <c r="I197" s="213"/>
      <c r="J197" s="213"/>
      <c r="K197" s="213"/>
      <c r="L197" s="213"/>
      <c r="M197" s="213"/>
    </row>
    <row r="198" spans="2:13" s="106" customFormat="1" x14ac:dyDescent="0.25">
      <c r="B198" s="213"/>
      <c r="C198" s="213"/>
      <c r="D198" s="213"/>
      <c r="E198" s="213"/>
      <c r="F198" s="213"/>
      <c r="G198" s="213"/>
      <c r="H198" s="213"/>
      <c r="I198" s="213"/>
      <c r="J198" s="213"/>
      <c r="K198" s="213"/>
      <c r="L198" s="213"/>
      <c r="M198" s="213"/>
    </row>
    <row r="199" spans="2:13" s="106" customFormat="1" x14ac:dyDescent="0.25">
      <c r="B199" s="213"/>
      <c r="C199" s="213"/>
      <c r="D199" s="213"/>
      <c r="E199" s="213"/>
      <c r="F199" s="213"/>
      <c r="G199" s="213"/>
      <c r="H199" s="213"/>
      <c r="I199" s="213"/>
      <c r="J199" s="213"/>
      <c r="K199" s="213"/>
      <c r="L199" s="213"/>
      <c r="M199" s="213"/>
    </row>
    <row r="200" spans="2:13" s="106" customFormat="1" x14ac:dyDescent="0.25">
      <c r="B200" s="213"/>
      <c r="C200" s="213"/>
      <c r="D200" s="213"/>
      <c r="E200" s="213"/>
      <c r="F200" s="213"/>
      <c r="G200" s="213"/>
      <c r="H200" s="213"/>
      <c r="I200" s="213"/>
      <c r="J200" s="213"/>
      <c r="K200" s="213"/>
      <c r="L200" s="213"/>
      <c r="M200" s="213"/>
    </row>
    <row r="201" spans="2:13" s="106" customFormat="1" x14ac:dyDescent="0.25">
      <c r="B201" s="213"/>
      <c r="C201" s="213"/>
      <c r="D201" s="213"/>
      <c r="E201" s="213"/>
      <c r="F201" s="213"/>
      <c r="G201" s="213"/>
      <c r="H201" s="213"/>
      <c r="I201" s="213"/>
      <c r="J201" s="213"/>
      <c r="K201" s="213"/>
      <c r="L201" s="213"/>
      <c r="M201" s="213"/>
    </row>
    <row r="202" spans="2:13" s="106" customFormat="1" x14ac:dyDescent="0.25">
      <c r="B202" s="213"/>
      <c r="C202" s="213"/>
      <c r="D202" s="213"/>
      <c r="E202" s="213"/>
      <c r="F202" s="213"/>
      <c r="G202" s="213"/>
      <c r="H202" s="213"/>
      <c r="I202" s="213"/>
      <c r="J202" s="213"/>
      <c r="K202" s="213"/>
      <c r="L202" s="213"/>
      <c r="M202" s="213"/>
    </row>
    <row r="203" spans="2:13" s="106" customFormat="1" x14ac:dyDescent="0.25">
      <c r="B203" s="213"/>
      <c r="C203" s="213"/>
      <c r="D203" s="213"/>
      <c r="E203" s="213"/>
      <c r="F203" s="213"/>
      <c r="G203" s="213"/>
      <c r="H203" s="213"/>
      <c r="I203" s="213"/>
      <c r="J203" s="213"/>
      <c r="K203" s="213"/>
      <c r="L203" s="213"/>
      <c r="M203" s="213"/>
    </row>
    <row r="204" spans="2:13" s="106" customFormat="1" x14ac:dyDescent="0.25">
      <c r="B204" s="213"/>
      <c r="C204" s="213"/>
      <c r="D204" s="213"/>
      <c r="E204" s="213"/>
      <c r="F204" s="213"/>
      <c r="G204" s="213"/>
      <c r="H204" s="213"/>
      <c r="I204" s="213"/>
      <c r="J204" s="213"/>
      <c r="K204" s="213"/>
      <c r="L204" s="213"/>
      <c r="M204" s="213"/>
    </row>
    <row r="205" spans="2:13" s="106" customFormat="1" x14ac:dyDescent="0.25">
      <c r="B205" s="213"/>
      <c r="C205" s="213"/>
      <c r="D205" s="213"/>
      <c r="E205" s="213"/>
      <c r="F205" s="213"/>
      <c r="G205" s="213"/>
      <c r="H205" s="213"/>
      <c r="I205" s="213"/>
      <c r="J205" s="213"/>
      <c r="K205" s="213"/>
      <c r="L205" s="213"/>
      <c r="M205" s="213"/>
    </row>
    <row r="206" spans="2:13" s="106" customFormat="1" x14ac:dyDescent="0.25">
      <c r="B206" s="213"/>
      <c r="C206" s="213"/>
      <c r="D206" s="213"/>
      <c r="E206" s="213"/>
      <c r="F206" s="213"/>
      <c r="G206" s="213"/>
      <c r="H206" s="213"/>
      <c r="I206" s="213"/>
      <c r="J206" s="213"/>
      <c r="K206" s="213"/>
      <c r="L206" s="213"/>
      <c r="M206" s="213"/>
    </row>
    <row r="207" spans="2:13" s="106" customFormat="1" x14ac:dyDescent="0.25"/>
    <row r="208" spans="2:13" s="106" customFormat="1" x14ac:dyDescent="0.25"/>
    <row r="209" s="106" customFormat="1" x14ac:dyDescent="0.25"/>
    <row r="210" s="106" customFormat="1" x14ac:dyDescent="0.25"/>
    <row r="211" s="106" customFormat="1" x14ac:dyDescent="0.25"/>
    <row r="212" s="106" customFormat="1" x14ac:dyDescent="0.25"/>
    <row r="213" s="106" customFormat="1" x14ac:dyDescent="0.25"/>
    <row r="214" s="106" customFormat="1" x14ac:dyDescent="0.25"/>
    <row r="215" s="106" customFormat="1" x14ac:dyDescent="0.25"/>
    <row r="216" s="106" customFormat="1" x14ac:dyDescent="0.25"/>
    <row r="217" s="106" customFormat="1" x14ac:dyDescent="0.25"/>
    <row r="218" s="106" customFormat="1" x14ac:dyDescent="0.25"/>
  </sheetData>
  <sheetProtection algorithmName="SHA-512" hashValue="vYaFlIWqsFaMiUqMIeEH7TEwgOnsD0ibrHBdfHdWwoZIj4Wn8pQ1Bl8NGv188ZrjdA87EQzV2ONiCF9sERrzaA==" saltValue="/c00W/l5au4PwwxfgYzXXA==" spinCount="100000" sheet="1" objects="1" scenarios="1"/>
  <protectedRanges>
    <protectedRange sqref="C4 L4 C5:L8 E24:E26 G25:G28 B82:C84 K24 G82:G83 G85:H85 K81 K84:K86 B86:B87 C87 C99:F100 C147:F148" name="Range1"/>
    <protectedRange sqref="F87:G87" name="Range1_1"/>
  </protectedRanges>
  <mergeCells count="66">
    <mergeCell ref="F75:K75"/>
    <mergeCell ref="B74:E75"/>
    <mergeCell ref="L72:M74"/>
    <mergeCell ref="C82:D82"/>
    <mergeCell ref="C83:D83"/>
    <mergeCell ref="L24:M24"/>
    <mergeCell ref="B170:M206"/>
    <mergeCell ref="B167:M167"/>
    <mergeCell ref="B71:D71"/>
    <mergeCell ref="B68:M68"/>
    <mergeCell ref="I37:K37"/>
    <mergeCell ref="B69:D69"/>
    <mergeCell ref="J69:L69"/>
    <mergeCell ref="B70:D70"/>
    <mergeCell ref="J70:L70"/>
    <mergeCell ref="C37:F37"/>
    <mergeCell ref="C111:F111"/>
    <mergeCell ref="B169:M169"/>
    <mergeCell ref="G82:H82"/>
    <mergeCell ref="B85:C85"/>
    <mergeCell ref="G111:J111"/>
    <mergeCell ref="I25:J25"/>
    <mergeCell ref="B25:C26"/>
    <mergeCell ref="L26:M27"/>
    <mergeCell ref="B30:M30"/>
    <mergeCell ref="B32:M32"/>
    <mergeCell ref="B31:M31"/>
    <mergeCell ref="A1:A167"/>
    <mergeCell ref="N1:N167"/>
    <mergeCell ref="B2:M2"/>
    <mergeCell ref="B1:M1"/>
    <mergeCell ref="C166:E166"/>
    <mergeCell ref="F166:H166"/>
    <mergeCell ref="B138:F138"/>
    <mergeCell ref="C156:E156"/>
    <mergeCell ref="F156:H156"/>
    <mergeCell ref="C161:E161"/>
    <mergeCell ref="F161:H161"/>
    <mergeCell ref="C116:F116"/>
    <mergeCell ref="G116:J116"/>
    <mergeCell ref="C5:L5"/>
    <mergeCell ref="L4:M4"/>
    <mergeCell ref="C4:J4"/>
    <mergeCell ref="B90:F90"/>
    <mergeCell ref="C86:D86"/>
    <mergeCell ref="C87:D87"/>
    <mergeCell ref="B126:E126"/>
    <mergeCell ref="C6:L6"/>
    <mergeCell ref="B23:M23"/>
    <mergeCell ref="B78:E78"/>
    <mergeCell ref="F81:H81"/>
    <mergeCell ref="I35:K35"/>
    <mergeCell ref="I36:K36"/>
    <mergeCell ref="C38:F38"/>
    <mergeCell ref="I38:K38"/>
    <mergeCell ref="C8:L8"/>
    <mergeCell ref="C7:L7"/>
    <mergeCell ref="I24:J24"/>
    <mergeCell ref="B72:D72"/>
    <mergeCell ref="H149:L151"/>
    <mergeCell ref="C130:D130"/>
    <mergeCell ref="C131:D131"/>
    <mergeCell ref="F129:H129"/>
    <mergeCell ref="G130:H130"/>
    <mergeCell ref="C134:D134"/>
    <mergeCell ref="C135:D135"/>
  </mergeCells>
  <conditionalFormatting sqref="B25:C26">
    <cfRule type="expression" dxfId="20" priority="6">
      <formula>$B$25="Pier length is less than 1.50 ft. Please revise."</formula>
    </cfRule>
  </conditionalFormatting>
  <conditionalFormatting sqref="B30:M31">
    <cfRule type="expression" dxfId="19" priority="4">
      <formula>OR(G28/G25&gt;6.5,G28/G27&gt;6.5)</formula>
    </cfRule>
  </conditionalFormatting>
  <conditionalFormatting sqref="B32:M32">
    <cfRule type="expression" dxfId="18" priority="3">
      <formula>OR(AND((G25&gt;0),(G25&lt;1)),AND((G27&gt;0),(G27&lt;1)))</formula>
    </cfRule>
  </conditionalFormatting>
  <conditionalFormatting sqref="H149:L151">
    <cfRule type="expression" dxfId="17" priority="1">
      <formula>$C$150="N/A"</formula>
    </cfRule>
  </conditionalFormatting>
  <conditionalFormatting sqref="L26:M27">
    <cfRule type="expression" dxfId="16" priority="5">
      <formula>L26="Aspect Ratio is greater than 3.5. Please revise."</formula>
    </cfRule>
  </conditionalFormatting>
  <conditionalFormatting sqref="L72:M74">
    <cfRule type="expression" dxfId="15" priority="2">
      <formula>$C$150="N/A"</formula>
    </cfRule>
  </conditionalFormatting>
  <dataValidations count="8">
    <dataValidation type="list" allowBlank="1" showInputMessage="1" showErrorMessage="1" sqref="K84" xr:uid="{00000000-0002-0000-0200-000003000000}">
      <formula1>"2,3,4,6"</formula1>
    </dataValidation>
    <dataValidation type="list" allowBlank="1" showInputMessage="1" showErrorMessage="1" sqref="K81" xr:uid="{00000000-0002-0000-0200-000004000000}">
      <formula1>"8d common,10d common"</formula1>
    </dataValidation>
    <dataValidation type="list" allowBlank="1" showInputMessage="1" showErrorMessage="1" sqref="C84 C83:D83" xr:uid="{00000000-0002-0000-0200-000006000000}">
      <formula1>"APA Rated Sheathing,APA Structural 1"</formula1>
    </dataValidation>
    <dataValidation type="list" allowBlank="1" showInputMessage="1" showErrorMessage="1" sqref="K24" xr:uid="{00000000-0002-0000-0200-000007000000}">
      <formula1>"2bs/h,1.25-0.125h/bs,None"</formula1>
    </dataValidation>
    <dataValidation type="list" allowBlank="1" showInputMessage="1" showErrorMessage="1" sqref="B85:C85" xr:uid="{00000000-0002-0000-0200-000002000000}">
      <formula1>#REF!</formula1>
    </dataValidation>
    <dataValidation allowBlank="1" showInputMessage="1" showErrorMessage="1" prompt="To modify this data, use the orange input box above the Four-Term Equation Deflection Check section of the spreadsheet." sqref="E127 C130:D131 G130:H130 G131 G134:H134 K130 K134:K136 G135" xr:uid="{42F4B5A5-7B9C-46DC-8478-F0CAA81069BF}"/>
    <dataValidation allowBlank="1" showInputMessage="1" showErrorMessage="1" prompt="To modify this data, use the blue input box above the Four-Term Equation Deflection Check section of the spreadsheet." sqref="C134:D135 G136" xr:uid="{D8675FA0-B73B-4A2E-AB87-038E5BCCB65E}"/>
    <dataValidation type="whole" operator="greaterThan" allowBlank="1" showInputMessage="1" showErrorMessage="1" sqref="C98:F98" xr:uid="{E1F25AA6-68B7-4812-B6B0-7D678D5C8DAE}">
      <formula1>0</formula1>
    </dataValidation>
  </dataValidations>
  <printOptions horizontalCentered="1"/>
  <pageMargins left="0.7" right="0.7" top="0.5" bottom="0.5" header="0.3" footer="0.3"/>
  <pageSetup scale="58" fitToHeight="0" orientation="portrait" errors="blank" r:id="rId1"/>
  <headerFooter>
    <firstFooter>&amp;C&amp;G</firstFooter>
  </headerFooter>
  <rowBreaks count="2" manualBreakCount="2">
    <brk id="75" min="1" max="12" man="1"/>
    <brk id="123" max="16383" man="1"/>
  </rowBreaks>
  <ignoredErrors>
    <ignoredError sqref="E103 E106:E108 E151:E153 E95 D104 F104 E105 E143" formula="1"/>
    <ignoredError sqref="E27" formulaRange="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5000000}">
          <x14:formula1>
            <xm:f>LookUp!$A$2:$A$7</xm:f>
          </x14:formula1>
          <xm:sqref>H85 C99:F99 C147:F147</xm:sqref>
        </x14:dataValidation>
        <x14:dataValidation type="list" allowBlank="1" showInputMessage="1" showErrorMessage="1" xr:uid="{A93206D6-6D3C-44AF-A14F-858E812A3E01}">
          <x14:formula1>
            <xm:f>LookUp!$D$2:$D$8</xm:f>
          </x14:formula1>
          <xm:sqref>C82:D82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Z226"/>
  <sheetViews>
    <sheetView showGridLines="0" zoomScaleNormal="100" zoomScaleSheetLayoutView="70" workbookViewId="0">
      <selection activeCell="L4" sqref="L4:M4"/>
    </sheetView>
  </sheetViews>
  <sheetFormatPr defaultRowHeight="15" x14ac:dyDescent="0.25"/>
  <cols>
    <col min="1" max="1" width="3.140625" customWidth="1"/>
    <col min="2" max="2" width="13.5703125" customWidth="1"/>
    <col min="3" max="10" width="11.5703125" customWidth="1"/>
    <col min="11" max="11" width="13.5703125" customWidth="1"/>
    <col min="12" max="12" width="17.85546875" customWidth="1"/>
    <col min="13" max="13" width="19.140625" customWidth="1"/>
    <col min="14" max="14" width="150.5703125" customWidth="1"/>
    <col min="15" max="15" width="27.5703125" customWidth="1"/>
    <col min="16" max="16" width="6" bestFit="1" customWidth="1"/>
    <col min="17" max="17" width="5.5703125" bestFit="1" customWidth="1"/>
    <col min="18" max="19" width="5" bestFit="1" customWidth="1"/>
    <col min="20" max="20" width="4.5703125" bestFit="1" customWidth="1"/>
  </cols>
  <sheetData>
    <row r="1" spans="1:14" x14ac:dyDescent="0.25">
      <c r="A1" s="204"/>
      <c r="B1" s="204"/>
      <c r="C1" s="204"/>
      <c r="D1" s="204"/>
      <c r="E1" s="204"/>
      <c r="F1" s="204"/>
      <c r="G1" s="204"/>
      <c r="H1" s="204"/>
      <c r="I1" s="204"/>
      <c r="J1" s="204"/>
      <c r="K1" s="204"/>
      <c r="L1" s="204"/>
      <c r="M1" s="204"/>
      <c r="N1" s="204"/>
    </row>
    <row r="2" spans="1:14" ht="111.75" customHeight="1" x14ac:dyDescent="0.35">
      <c r="A2" s="204"/>
      <c r="B2" s="289" t="str">
        <f ca="1">IF(TODAY()&lt;DATE(2026,2,28),"TwoOpen","Expireopen")</f>
        <v>TwoOpen</v>
      </c>
      <c r="C2" s="289"/>
      <c r="D2" s="289"/>
      <c r="E2" s="289"/>
      <c r="F2" s="289"/>
      <c r="G2" s="289"/>
      <c r="H2" s="289"/>
      <c r="I2" s="289"/>
      <c r="J2" s="289"/>
      <c r="K2" s="289"/>
      <c r="L2" s="289"/>
      <c r="M2" s="34"/>
      <c r="N2" s="204"/>
    </row>
    <row r="3" spans="1:14" ht="15" customHeight="1" thickBot="1" x14ac:dyDescent="0.3">
      <c r="A3" s="204"/>
      <c r="B3" s="42" t="s">
        <v>78</v>
      </c>
      <c r="C3" s="42"/>
      <c r="D3" s="42"/>
      <c r="E3" s="6"/>
      <c r="F3" s="6"/>
      <c r="G3" s="6"/>
      <c r="H3" s="6"/>
      <c r="I3" s="6"/>
      <c r="J3" s="6"/>
      <c r="K3" s="6"/>
      <c r="L3" s="6"/>
      <c r="M3" s="6"/>
      <c r="N3" s="204"/>
    </row>
    <row r="4" spans="1:14" ht="15" customHeight="1" x14ac:dyDescent="0.25">
      <c r="A4" s="204"/>
      <c r="B4" s="36" t="s">
        <v>79</v>
      </c>
      <c r="C4" s="230"/>
      <c r="D4" s="230"/>
      <c r="E4" s="230"/>
      <c r="F4" s="230"/>
      <c r="G4" s="230"/>
      <c r="H4" s="230"/>
      <c r="I4" s="230"/>
      <c r="J4" s="230"/>
      <c r="K4" s="69" t="s">
        <v>81</v>
      </c>
      <c r="L4" s="290"/>
      <c r="M4" s="230"/>
      <c r="N4" s="204"/>
    </row>
    <row r="5" spans="1:14" ht="15" customHeight="1" x14ac:dyDescent="0.25">
      <c r="A5" s="204"/>
      <c r="B5" s="35" t="s">
        <v>82</v>
      </c>
      <c r="C5" s="230"/>
      <c r="D5" s="230"/>
      <c r="E5" s="230"/>
      <c r="F5" s="230"/>
      <c r="G5" s="230"/>
      <c r="H5" s="230"/>
      <c r="I5" s="230"/>
      <c r="J5" s="230"/>
      <c r="K5" s="230"/>
      <c r="L5" s="230"/>
      <c r="M5" s="230"/>
      <c r="N5" s="204"/>
    </row>
    <row r="6" spans="1:14" ht="15" customHeight="1" x14ac:dyDescent="0.25">
      <c r="A6" s="204"/>
      <c r="B6" s="35" t="s">
        <v>84</v>
      </c>
      <c r="C6" s="230"/>
      <c r="D6" s="230"/>
      <c r="E6" s="230"/>
      <c r="F6" s="230"/>
      <c r="G6" s="230"/>
      <c r="H6" s="230"/>
      <c r="I6" s="230"/>
      <c r="J6" s="230"/>
      <c r="K6" s="230"/>
      <c r="L6" s="230"/>
      <c r="M6" s="230"/>
      <c r="N6" s="204"/>
    </row>
    <row r="7" spans="1:14" ht="15" customHeight="1" x14ac:dyDescent="0.25">
      <c r="A7" s="204"/>
      <c r="B7" s="35" t="s">
        <v>85</v>
      </c>
      <c r="C7" s="231"/>
      <c r="D7" s="231"/>
      <c r="E7" s="231"/>
      <c r="F7" s="231"/>
      <c r="G7" s="231"/>
      <c r="H7" s="231"/>
      <c r="I7" s="231"/>
      <c r="J7" s="231"/>
      <c r="K7" s="231"/>
      <c r="L7" s="231"/>
      <c r="M7" s="231"/>
      <c r="N7" s="204"/>
    </row>
    <row r="8" spans="1:14" ht="15" customHeight="1" x14ac:dyDescent="0.25">
      <c r="A8" s="204"/>
      <c r="B8" s="35" t="s">
        <v>87</v>
      </c>
      <c r="C8" s="231"/>
      <c r="D8" s="231"/>
      <c r="E8" s="231"/>
      <c r="F8" s="231"/>
      <c r="G8" s="231"/>
      <c r="H8" s="231"/>
      <c r="I8" s="231"/>
      <c r="J8" s="231"/>
      <c r="K8" s="231"/>
      <c r="L8" s="231"/>
      <c r="M8" s="231"/>
      <c r="N8" s="204"/>
    </row>
    <row r="9" spans="1:14" ht="15" customHeight="1" x14ac:dyDescent="0.25">
      <c r="A9" s="204"/>
      <c r="B9" s="99"/>
      <c r="C9" s="100"/>
      <c r="D9" s="100"/>
      <c r="E9" s="100"/>
      <c r="F9" s="100"/>
      <c r="G9" s="100"/>
      <c r="N9" s="204"/>
    </row>
    <row r="10" spans="1:14" ht="15" customHeight="1" x14ac:dyDescent="0.25">
      <c r="A10" s="204"/>
      <c r="B10" s="99"/>
      <c r="C10" s="100"/>
      <c r="D10" s="100"/>
      <c r="E10" s="100"/>
      <c r="F10" s="100"/>
      <c r="G10" s="100"/>
      <c r="N10" s="204"/>
    </row>
    <row r="11" spans="1:14" ht="15" customHeight="1" x14ac:dyDescent="0.25">
      <c r="A11" s="204"/>
      <c r="B11" s="99"/>
      <c r="C11" s="100"/>
      <c r="D11" s="100"/>
      <c r="E11" s="100"/>
      <c r="F11" s="100"/>
      <c r="G11" s="100"/>
      <c r="N11" s="204"/>
    </row>
    <row r="12" spans="1:14" ht="15" customHeight="1" x14ac:dyDescent="0.25">
      <c r="A12" s="204"/>
      <c r="B12" s="99"/>
      <c r="C12" s="100"/>
      <c r="D12" s="100"/>
      <c r="E12" s="100"/>
      <c r="F12" s="100"/>
      <c r="G12" s="100"/>
      <c r="N12" s="204"/>
    </row>
    <row r="13" spans="1:14" ht="15" customHeight="1" x14ac:dyDescent="0.25">
      <c r="A13" s="204"/>
      <c r="B13" s="99"/>
      <c r="C13" s="100"/>
      <c r="D13" s="100"/>
      <c r="E13" s="100"/>
      <c r="F13" s="100"/>
      <c r="G13" s="100"/>
      <c r="N13" s="204"/>
    </row>
    <row r="14" spans="1:14" ht="15" customHeight="1" x14ac:dyDescent="0.25">
      <c r="A14" s="204"/>
      <c r="B14" s="99"/>
      <c r="C14" s="100"/>
      <c r="D14" s="100"/>
      <c r="E14" s="100"/>
      <c r="F14" s="100"/>
      <c r="G14" s="100"/>
      <c r="N14" s="204"/>
    </row>
    <row r="15" spans="1:14" ht="15" customHeight="1" x14ac:dyDescent="0.25">
      <c r="A15" s="204"/>
      <c r="B15" s="99"/>
      <c r="C15" s="100"/>
      <c r="D15" s="100"/>
      <c r="E15" s="100"/>
      <c r="F15" s="100"/>
      <c r="G15" s="100"/>
      <c r="N15" s="204"/>
    </row>
    <row r="16" spans="1:14" ht="15" customHeight="1" x14ac:dyDescent="0.25">
      <c r="A16" s="204"/>
      <c r="B16" s="99"/>
      <c r="C16" s="100"/>
      <c r="D16" s="100"/>
      <c r="E16" s="100"/>
      <c r="F16" s="100"/>
      <c r="G16" s="100"/>
      <c r="N16" s="204"/>
    </row>
    <row r="17" spans="1:26" ht="15" customHeight="1" x14ac:dyDescent="0.25">
      <c r="A17" s="204"/>
      <c r="N17" s="204"/>
    </row>
    <row r="18" spans="1:26" ht="15" customHeight="1" x14ac:dyDescent="0.25">
      <c r="A18" s="204"/>
      <c r="N18" s="204"/>
    </row>
    <row r="19" spans="1:26" ht="15" customHeight="1" x14ac:dyDescent="0.25">
      <c r="A19" s="204"/>
      <c r="N19" s="204"/>
    </row>
    <row r="20" spans="1:26" ht="15" customHeight="1" x14ac:dyDescent="0.25">
      <c r="A20" s="204"/>
      <c r="N20" s="204"/>
    </row>
    <row r="21" spans="1:26" ht="15" customHeight="1" x14ac:dyDescent="0.25">
      <c r="A21" s="204"/>
      <c r="N21" s="204"/>
    </row>
    <row r="22" spans="1:26" ht="15" customHeight="1" x14ac:dyDescent="0.25">
      <c r="A22" s="204"/>
      <c r="N22" s="204"/>
    </row>
    <row r="23" spans="1:26" ht="15" customHeight="1" thickBot="1" x14ac:dyDescent="0.3">
      <c r="A23" s="204"/>
      <c r="B23" s="208" t="s">
        <v>88</v>
      </c>
      <c r="C23" s="208"/>
      <c r="D23" s="208"/>
      <c r="E23" s="208"/>
      <c r="F23" s="208"/>
      <c r="G23" s="208"/>
      <c r="H23" s="208"/>
      <c r="I23" s="208"/>
      <c r="J23" s="208"/>
      <c r="K23" s="208"/>
      <c r="L23" s="208"/>
      <c r="M23" s="208"/>
      <c r="N23" s="204"/>
      <c r="U23" s="2"/>
      <c r="V23" s="1"/>
      <c r="Y23" s="2"/>
      <c r="Z23" s="1"/>
    </row>
    <row r="24" spans="1:26" ht="15" customHeight="1" thickBot="1" x14ac:dyDescent="0.3">
      <c r="A24" s="204"/>
      <c r="C24" s="2" t="s">
        <v>4</v>
      </c>
      <c r="D24" s="124"/>
      <c r="F24" s="74" t="s">
        <v>89</v>
      </c>
      <c r="H24" s="74" t="s">
        <v>90</v>
      </c>
      <c r="J24" s="233" t="s">
        <v>91</v>
      </c>
      <c r="K24" s="233"/>
      <c r="L24" s="130" t="s">
        <v>92</v>
      </c>
      <c r="N24" s="204"/>
      <c r="U24" s="2"/>
      <c r="V24" s="60"/>
      <c r="Y24" s="2"/>
      <c r="Z24" s="60"/>
    </row>
    <row r="25" spans="1:26" ht="15" customHeight="1" thickTop="1" x14ac:dyDescent="0.35">
      <c r="A25" s="204"/>
      <c r="B25" s="255" t="str">
        <f>IF(OR(AND((D25&gt;0),(D25&lt;1.5)),AND((D26&gt;0),(D26&lt;1.5)),AND((D27&gt;0),(D27&lt;1.5))),"Pier length is less than 1.50 ft. Please revise.","")</f>
        <v/>
      </c>
      <c r="C25" s="2" t="s">
        <v>93</v>
      </c>
      <c r="D25" s="119"/>
      <c r="E25" s="2" t="s">
        <v>94</v>
      </c>
      <c r="F25" s="120"/>
      <c r="G25" s="2" t="s">
        <v>95</v>
      </c>
      <c r="H25" s="63" t="str">
        <f>IF(F25="","",F25)</f>
        <v/>
      </c>
      <c r="J25" s="234" t="s">
        <v>96</v>
      </c>
      <c r="K25" s="235"/>
      <c r="L25" s="50" t="s">
        <v>97</v>
      </c>
      <c r="N25" s="204"/>
      <c r="U25" s="2"/>
      <c r="V25" s="60"/>
      <c r="Y25" s="2"/>
      <c r="Z25" s="60"/>
    </row>
    <row r="26" spans="1:26" ht="15" customHeight="1" x14ac:dyDescent="0.35">
      <c r="A26" s="204"/>
      <c r="B26" s="255"/>
      <c r="C26" s="2" t="s">
        <v>98</v>
      </c>
      <c r="D26" s="125"/>
      <c r="E26" s="2" t="s">
        <v>99</v>
      </c>
      <c r="F26" s="121"/>
      <c r="G26" s="2" t="s">
        <v>100</v>
      </c>
      <c r="H26" s="63" t="str">
        <f>IF(F26="","",F26)</f>
        <v/>
      </c>
      <c r="J26" s="2" t="s">
        <v>101</v>
      </c>
      <c r="K26" s="47" t="str">
        <f>IFERROR(F26/D25,"")</f>
        <v/>
      </c>
      <c r="L26" s="129" t="str">
        <f>IF(OR(K26&lt;=2,$L$24="None",$L$24=""),"N/A",IF(AND(K26&lt;=3.504,K26&gt;2),IF($L$24="2bs/h",(2*D25)/F26,1.25-(0.125*K26)),""))</f>
        <v/>
      </c>
      <c r="M26" s="255" t="str">
        <f>IF(MAX(K26:K28)&gt;3.504,"Aspect Ratio is greater than 3.5. Please revise.","")</f>
        <v/>
      </c>
      <c r="N26" s="204"/>
      <c r="U26" s="2"/>
      <c r="V26" s="60"/>
      <c r="Y26" s="2"/>
      <c r="Z26" s="60"/>
    </row>
    <row r="27" spans="1:26" ht="15" customHeight="1" x14ac:dyDescent="0.35">
      <c r="A27" s="204"/>
      <c r="B27" s="255"/>
      <c r="C27" s="2" t="s">
        <v>102</v>
      </c>
      <c r="D27" s="119"/>
      <c r="E27" s="2" t="s">
        <v>103</v>
      </c>
      <c r="F27" s="121"/>
      <c r="G27" s="2" t="s">
        <v>104</v>
      </c>
      <c r="H27" s="63" t="str">
        <f>IF(F27="","",F27)</f>
        <v/>
      </c>
      <c r="J27" s="2" t="s">
        <v>105</v>
      </c>
      <c r="K27" s="47" t="str">
        <f>IFERROR(F26/D26,"")</f>
        <v/>
      </c>
      <c r="L27" s="129" t="str">
        <f>IF(OR(K27&lt;=2,$L$24="None",$L$24=""),"N/A",IF(AND(K27&lt;=3.504,K27&gt;2),IF($L$24="2bs/h",(2*D26)/F26,1.25-(0.125*K27)),""))</f>
        <v/>
      </c>
      <c r="M27" s="255"/>
      <c r="N27" s="204"/>
      <c r="U27" s="2"/>
      <c r="V27" s="60"/>
      <c r="Y27" s="2"/>
      <c r="Z27" s="60"/>
    </row>
    <row r="28" spans="1:26" ht="15" customHeight="1" x14ac:dyDescent="0.35">
      <c r="A28" s="204"/>
      <c r="C28" s="2" t="s">
        <v>106</v>
      </c>
      <c r="D28" s="63" t="str">
        <f>IF(F25="","",SUM(F25:F27))</f>
        <v/>
      </c>
      <c r="E28" s="2" t="s">
        <v>107</v>
      </c>
      <c r="F28" s="121"/>
      <c r="G28" s="2" t="s">
        <v>108</v>
      </c>
      <c r="H28" s="121"/>
      <c r="J28" s="2" t="s">
        <v>109</v>
      </c>
      <c r="K28" s="47" t="str">
        <f>IFERROR(F26/D27,"")</f>
        <v/>
      </c>
      <c r="L28" s="129" t="str">
        <f>IF(OR(K28&lt;=2,$L$24="None",$L$24=""),"N/A",IF(AND(K28&lt;=3.504,K28&gt;2),IF($L$24="2bs/h",(2*D27)/H26,1.25-(0.125*K28)),""))</f>
        <v/>
      </c>
      <c r="M28" s="255"/>
      <c r="N28" s="204"/>
    </row>
    <row r="29" spans="1:26" ht="15" customHeight="1" x14ac:dyDescent="0.35">
      <c r="A29" s="204"/>
      <c r="C29" s="2" t="s">
        <v>110</v>
      </c>
      <c r="D29" s="63" t="str">
        <f>IF(D25="","",D25+D26+D27+F28+H28)</f>
        <v/>
      </c>
      <c r="E29" s="286"/>
      <c r="F29" s="286"/>
      <c r="G29" s="286"/>
      <c r="H29" s="286"/>
      <c r="I29" s="286"/>
      <c r="J29" s="286"/>
      <c r="K29" s="286"/>
      <c r="L29" s="286"/>
      <c r="M29" s="286"/>
      <c r="N29" s="204"/>
    </row>
    <row r="30" spans="1:26" ht="15" customHeight="1" x14ac:dyDescent="0.25">
      <c r="A30" s="204"/>
      <c r="B30" s="265" t="str">
        <f>IFERROR(IF(OR(F28/F25&gt;6.5,F28/F27&gt;6.5,H28/H25&gt;6.5,H28/H27&gt;6.5),"Note to Designer: The width-to-height ratio of sheathing above or below the openings exceeds 6.5:1. Exercise caution when assuming fixity at corner regions, as assumed in this calculator.",""),"")</f>
        <v/>
      </c>
      <c r="C30" s="265"/>
      <c r="D30" s="265"/>
      <c r="E30" s="265"/>
      <c r="F30" s="265"/>
      <c r="G30" s="265"/>
      <c r="H30" s="265"/>
      <c r="I30" s="265"/>
      <c r="J30" s="265"/>
      <c r="K30" s="265"/>
      <c r="L30" s="265"/>
      <c r="M30" s="265"/>
      <c r="N30" s="204"/>
    </row>
    <row r="31" spans="1:26" ht="15" customHeight="1" x14ac:dyDescent="0.25">
      <c r="A31" s="204"/>
      <c r="B31" s="265" t="str">
        <f>IFERROR(IF(OR(AND((D25&gt;0),(D25&lt;1.5)),AND((D26&gt;0),(D26&lt;1.5)),AND((D27&gt;0),(D27&lt;1.5))),"Pier length is less than 1.50 ft. Please revise.",IF(OR(AND((D25&gt;0),(D25&lt;2)),AND((D26&gt;0),(D26&lt;2)),AND((D27&gt;0),(D27&lt;2))),"Note to Designer: 2021 Special Design Provisions for Wind and Seismic (SDPWS) limits wall pier widths to 24 inches, but APA testing successfully utilized blocked pier widths as narrow as 18 inches.","")),"")</f>
        <v/>
      </c>
      <c r="C31" s="265"/>
      <c r="D31" s="265"/>
      <c r="E31" s="265"/>
      <c r="F31" s="265"/>
      <c r="G31" s="265"/>
      <c r="H31" s="265"/>
      <c r="I31" s="265"/>
      <c r="J31" s="265"/>
      <c r="K31" s="265"/>
      <c r="L31" s="265"/>
      <c r="M31" s="265"/>
      <c r="N31" s="204"/>
    </row>
    <row r="32" spans="1:26" ht="15.6" customHeight="1" x14ac:dyDescent="0.25">
      <c r="A32" s="204"/>
      <c r="B32" s="265" t="str">
        <f>IF(OR(AND((F25&gt;0),(F25&lt;1)),AND((F27&gt;0),(F27&lt;1))),"Note to Designer: The height of sheathing above or below the openings is less than 1.0 foot. Exercise caution when assuming fixity at corner regions, as assumed in this calculator.","")</f>
        <v/>
      </c>
      <c r="C32" s="265"/>
      <c r="D32" s="265"/>
      <c r="E32" s="265"/>
      <c r="F32" s="265"/>
      <c r="G32" s="265"/>
      <c r="H32" s="265"/>
      <c r="I32" s="265"/>
      <c r="J32" s="265"/>
      <c r="K32" s="265"/>
      <c r="L32" s="265"/>
      <c r="M32" s="265"/>
      <c r="N32" s="204"/>
    </row>
    <row r="33" spans="1:19" ht="15" customHeight="1" x14ac:dyDescent="0.35">
      <c r="A33" s="204"/>
      <c r="C33" s="4" t="s">
        <v>111</v>
      </c>
      <c r="D33" s="4"/>
      <c r="E33" s="4"/>
      <c r="F33" s="4"/>
      <c r="G33" s="84" t="str">
        <f>IFERROR(D24*D28/D29,"")</f>
        <v/>
      </c>
      <c r="H33" s="32"/>
      <c r="I33" s="67" t="s">
        <v>112</v>
      </c>
      <c r="J33" s="3"/>
      <c r="K33" s="3"/>
      <c r="L33" s="3"/>
      <c r="N33" s="204"/>
    </row>
    <row r="34" spans="1:19" ht="15" customHeight="1" x14ac:dyDescent="0.25">
      <c r="A34" s="204"/>
      <c r="C34" s="36" t="s">
        <v>113</v>
      </c>
      <c r="D34" s="36"/>
      <c r="E34" s="36"/>
      <c r="F34" s="36"/>
      <c r="G34" s="66"/>
      <c r="I34" s="219" t="s">
        <v>114</v>
      </c>
      <c r="J34" s="219"/>
      <c r="K34" s="219"/>
      <c r="L34" s="64" t="str">
        <f>IFERROR(((D24/D29)*(D25+G49))/D25,"")</f>
        <v/>
      </c>
      <c r="N34" s="204"/>
    </row>
    <row r="35" spans="1:19" ht="15" customHeight="1" x14ac:dyDescent="0.35">
      <c r="A35" s="204"/>
      <c r="C35" s="219" t="s">
        <v>115</v>
      </c>
      <c r="D35" s="219"/>
      <c r="E35" s="219"/>
      <c r="F35" s="219"/>
      <c r="G35" s="65" t="str">
        <f>IF(D24=0,"",IF(OR(F25=0,F27=0),"N/A",G33/(F25+F27)))</f>
        <v/>
      </c>
      <c r="I35" s="220" t="s">
        <v>116</v>
      </c>
      <c r="J35" s="220"/>
      <c r="K35" s="220"/>
      <c r="L35" s="64" t="str">
        <f>IFERROR(((D24/D29)*(D26+G50+G51))/D26,"")</f>
        <v/>
      </c>
      <c r="N35" s="204"/>
    </row>
    <row r="36" spans="1:19" ht="15" customHeight="1" x14ac:dyDescent="0.35">
      <c r="A36" s="204"/>
      <c r="C36" s="220" t="s">
        <v>117</v>
      </c>
      <c r="D36" s="220"/>
      <c r="E36" s="220"/>
      <c r="F36" s="220"/>
      <c r="G36" s="65" t="str">
        <f>IF(D24=0,"",IF(OR(F25=0,F27=0),"N/A",G33/(H25+H27)))</f>
        <v/>
      </c>
      <c r="I36" s="220" t="s">
        <v>118</v>
      </c>
      <c r="J36" s="220"/>
      <c r="K36" s="220"/>
      <c r="L36" s="64" t="str">
        <f>IFERROR(((D24/D29)*(G52+D27))/D27,"")</f>
        <v/>
      </c>
      <c r="N36" s="204"/>
    </row>
    <row r="37" spans="1:19" ht="15" customHeight="1" x14ac:dyDescent="0.25">
      <c r="A37" s="204"/>
      <c r="C37" s="220"/>
      <c r="D37" s="220"/>
      <c r="E37" s="220"/>
      <c r="F37" s="220"/>
      <c r="G37" s="65"/>
      <c r="I37" s="220" t="s">
        <v>119</v>
      </c>
      <c r="J37" s="220"/>
      <c r="K37" s="220"/>
      <c r="L37" s="84" t="str">
        <f>IFERROR(L34*$D$25+L35*$D$26+L36*$D$27,"")</f>
        <v/>
      </c>
      <c r="M37" s="59" t="str">
        <f>IF(D24=0,"",IF(L37=D24,"OK","NO GOOD"))</f>
        <v/>
      </c>
      <c r="N37" s="204"/>
    </row>
    <row r="38" spans="1:19" ht="15" customHeight="1" x14ac:dyDescent="0.25">
      <c r="A38" s="204"/>
      <c r="C38" s="36" t="s">
        <v>120</v>
      </c>
      <c r="D38" s="36"/>
      <c r="E38" s="36"/>
      <c r="F38" s="36"/>
      <c r="G38" s="3"/>
      <c r="N38" s="204"/>
    </row>
    <row r="39" spans="1:19" ht="15" customHeight="1" x14ac:dyDescent="0.25">
      <c r="A39" s="204"/>
      <c r="F39" s="2" t="s">
        <v>121</v>
      </c>
      <c r="G39" s="84" t="str">
        <f>IFERROR(G35*F28,"")</f>
        <v/>
      </c>
      <c r="I39" s="67" t="s">
        <v>122</v>
      </c>
      <c r="J39" s="3"/>
      <c r="K39" s="3"/>
      <c r="L39" s="3"/>
      <c r="N39" s="204"/>
    </row>
    <row r="40" spans="1:19" ht="15" customHeight="1" x14ac:dyDescent="0.25">
      <c r="A40" s="204"/>
      <c r="F40" s="2" t="s">
        <v>123</v>
      </c>
      <c r="G40" s="84" t="str">
        <f>IFERROR(G36*H28,"")</f>
        <v/>
      </c>
      <c r="J40" s="2"/>
      <c r="K40" s="2" t="s">
        <v>124</v>
      </c>
      <c r="L40" s="84" t="str">
        <f>IFERROR(L34*D25,"")</f>
        <v/>
      </c>
      <c r="N40" s="204"/>
    </row>
    <row r="41" spans="1:19" ht="15" customHeight="1" x14ac:dyDescent="0.25">
      <c r="A41" s="204"/>
      <c r="F41" s="2"/>
      <c r="G41" s="62"/>
      <c r="H41" s="32"/>
      <c r="J41" s="2"/>
      <c r="K41" s="2" t="s">
        <v>125</v>
      </c>
      <c r="L41" s="84" t="str">
        <f>IFERROR(L35*D26,"")</f>
        <v/>
      </c>
      <c r="N41" s="204"/>
    </row>
    <row r="42" spans="1:19" ht="15" customHeight="1" x14ac:dyDescent="0.25">
      <c r="A42" s="204"/>
      <c r="C42" s="36" t="s">
        <v>126</v>
      </c>
      <c r="D42" s="36"/>
      <c r="E42" s="36"/>
      <c r="F42" s="36"/>
      <c r="G42" s="3"/>
      <c r="H42" s="32"/>
      <c r="J42" s="2"/>
      <c r="K42" s="2" t="s">
        <v>127</v>
      </c>
      <c r="L42" s="84" t="str">
        <f>IFERROR(L36*D27,"")</f>
        <v/>
      </c>
      <c r="N42" s="204"/>
    </row>
    <row r="43" spans="1:19" ht="15" customHeight="1" x14ac:dyDescent="0.25">
      <c r="A43" s="204"/>
      <c r="F43" s="2" t="s">
        <v>128</v>
      </c>
      <c r="G43" s="84" t="str">
        <f>IFERROR((G39*D25)/(D25+D26),"")</f>
        <v/>
      </c>
      <c r="H43" s="32"/>
      <c r="J43" s="2"/>
      <c r="K43" s="2"/>
      <c r="L43" s="62"/>
      <c r="N43" s="204"/>
    </row>
    <row r="44" spans="1:19" ht="15" customHeight="1" x14ac:dyDescent="0.25">
      <c r="A44" s="204"/>
      <c r="F44" s="2" t="s">
        <v>129</v>
      </c>
      <c r="G44" s="84" t="str">
        <f>IFERROR(G39*D26/(D25+D26),"")</f>
        <v/>
      </c>
      <c r="I44" s="67" t="s">
        <v>130</v>
      </c>
      <c r="J44" s="3"/>
      <c r="K44" s="3"/>
      <c r="L44" s="3"/>
      <c r="N44" s="204"/>
    </row>
    <row r="45" spans="1:19" ht="15" customHeight="1" x14ac:dyDescent="0.25">
      <c r="A45" s="204"/>
      <c r="F45" s="2" t="s">
        <v>131</v>
      </c>
      <c r="G45" s="84" t="str">
        <f>IFERROR(G40*D26/(D26+D27),"")</f>
        <v/>
      </c>
      <c r="J45" s="2"/>
      <c r="K45" s="2" t="s">
        <v>132</v>
      </c>
      <c r="L45" s="84" t="str">
        <f>IFERROR(L40-G43,"")</f>
        <v/>
      </c>
      <c r="N45" s="204"/>
    </row>
    <row r="46" spans="1:19" ht="15" customHeight="1" x14ac:dyDescent="0.25">
      <c r="A46" s="204"/>
      <c r="F46" s="2" t="s">
        <v>133</v>
      </c>
      <c r="G46" s="84" t="str">
        <f>IFERROR(G40*D27/(D26+D27),"")</f>
        <v/>
      </c>
      <c r="H46" s="32"/>
      <c r="J46" s="2"/>
      <c r="K46" s="2" t="s">
        <v>134</v>
      </c>
      <c r="L46" s="84" t="str">
        <f>IFERROR(L41-G44-G45,"")</f>
        <v/>
      </c>
      <c r="N46" s="204"/>
    </row>
    <row r="47" spans="1:19" ht="15" customHeight="1" x14ac:dyDescent="0.25">
      <c r="A47" s="204"/>
      <c r="F47" s="2"/>
      <c r="G47" s="62"/>
      <c r="H47" s="32"/>
      <c r="J47" s="2"/>
      <c r="K47" s="2" t="s">
        <v>135</v>
      </c>
      <c r="L47" s="84" t="str">
        <f>IFERROR(L42-G46,"")</f>
        <v/>
      </c>
      <c r="N47" s="204"/>
    </row>
    <row r="48" spans="1:19" ht="15" customHeight="1" x14ac:dyDescent="0.25">
      <c r="A48" s="204"/>
      <c r="C48" s="36" t="s">
        <v>136</v>
      </c>
      <c r="D48" s="36"/>
      <c r="E48" s="36"/>
      <c r="F48" s="36"/>
      <c r="G48" s="3"/>
      <c r="H48" s="32"/>
      <c r="J48" s="2"/>
      <c r="K48" s="2"/>
      <c r="L48" s="62"/>
      <c r="N48" s="204"/>
      <c r="P48" s="1"/>
      <c r="Q48" s="1"/>
      <c r="R48" s="1"/>
      <c r="S48" s="1"/>
    </row>
    <row r="49" spans="1:23" ht="15" customHeight="1" x14ac:dyDescent="0.25">
      <c r="A49" s="204"/>
      <c r="F49" s="2" t="s">
        <v>137</v>
      </c>
      <c r="G49" s="63" t="str">
        <f>IFERROR(D25*F28/(D25+D26),"")</f>
        <v/>
      </c>
      <c r="H49" s="32"/>
      <c r="I49" s="67" t="s">
        <v>138</v>
      </c>
      <c r="J49" s="3"/>
      <c r="K49" s="3"/>
      <c r="L49" s="3"/>
      <c r="N49" s="204"/>
      <c r="P49" s="1"/>
      <c r="Q49" s="1"/>
      <c r="R49" s="1"/>
      <c r="S49" s="1"/>
    </row>
    <row r="50" spans="1:23" ht="15" customHeight="1" x14ac:dyDescent="0.25">
      <c r="A50" s="204"/>
      <c r="F50" s="2" t="s">
        <v>139</v>
      </c>
      <c r="G50" s="63" t="str">
        <f>IFERROR(D26*F28/(D25+D26),"")</f>
        <v/>
      </c>
      <c r="H50" s="32"/>
      <c r="J50" s="2"/>
      <c r="K50" s="2" t="s">
        <v>140</v>
      </c>
      <c r="L50" s="64" t="str">
        <f>IFERROR(L45/D25,"")</f>
        <v/>
      </c>
      <c r="N50" s="204"/>
      <c r="V50" s="2"/>
      <c r="W50" s="1"/>
    </row>
    <row r="51" spans="1:23" ht="15" customHeight="1" x14ac:dyDescent="0.25">
      <c r="A51" s="204"/>
      <c r="F51" s="2" t="s">
        <v>141</v>
      </c>
      <c r="G51" s="63" t="str">
        <f>IFERROR(D26*H28/(D26+D27),"")</f>
        <v/>
      </c>
      <c r="H51" s="32"/>
      <c r="J51" s="2"/>
      <c r="K51" s="2" t="s">
        <v>142</v>
      </c>
      <c r="L51" s="64" t="str">
        <f>IFERROR(L46/D26,"")</f>
        <v/>
      </c>
      <c r="N51" s="204"/>
    </row>
    <row r="52" spans="1:23" ht="15" customHeight="1" x14ac:dyDescent="0.25">
      <c r="A52" s="204"/>
      <c r="F52" s="2" t="s">
        <v>143</v>
      </c>
      <c r="G52" s="63" t="str">
        <f>IFERROR(D27*H28/(D26+D27),"")</f>
        <v/>
      </c>
      <c r="J52" s="2"/>
      <c r="K52" s="2" t="s">
        <v>144</v>
      </c>
      <c r="L52" s="64" t="str">
        <f>IFERROR(L47/D27,"")</f>
        <v/>
      </c>
      <c r="N52" s="204"/>
    </row>
    <row r="53" spans="1:23" ht="15" customHeight="1" x14ac:dyDescent="0.25">
      <c r="A53" s="204"/>
      <c r="F53" s="2"/>
      <c r="G53" s="63"/>
      <c r="H53" s="32"/>
      <c r="N53" s="204"/>
      <c r="O53" s="1"/>
    </row>
    <row r="54" spans="1:23" ht="15" customHeight="1" x14ac:dyDescent="0.25">
      <c r="A54" s="204"/>
      <c r="H54" s="32"/>
      <c r="J54" s="69"/>
      <c r="K54" s="69"/>
      <c r="L54" s="64"/>
      <c r="N54" s="204"/>
    </row>
    <row r="55" spans="1:23" ht="15" customHeight="1" x14ac:dyDescent="0.25">
      <c r="A55" s="204"/>
      <c r="N55" s="204"/>
    </row>
    <row r="56" spans="1:23" ht="15" customHeight="1" x14ac:dyDescent="0.25">
      <c r="A56" s="204"/>
      <c r="N56" s="204"/>
    </row>
    <row r="57" spans="1:23" ht="15" customHeight="1" x14ac:dyDescent="0.25">
      <c r="A57" s="204"/>
      <c r="N57" s="204"/>
      <c r="W57" s="1"/>
    </row>
    <row r="58" spans="1:23" ht="15" customHeight="1" x14ac:dyDescent="0.25">
      <c r="A58" s="204"/>
      <c r="N58" s="204"/>
      <c r="W58" s="1"/>
    </row>
    <row r="59" spans="1:23" ht="15" customHeight="1" x14ac:dyDescent="0.25">
      <c r="A59" s="204"/>
      <c r="N59" s="204"/>
      <c r="W59" s="1"/>
    </row>
    <row r="60" spans="1:23" ht="15" customHeight="1" x14ac:dyDescent="0.25">
      <c r="A60" s="204"/>
      <c r="K60" s="2"/>
      <c r="N60" s="204"/>
      <c r="W60" s="1"/>
    </row>
    <row r="61" spans="1:23" ht="15" customHeight="1" x14ac:dyDescent="0.25">
      <c r="A61" s="204"/>
      <c r="N61" s="204"/>
    </row>
    <row r="62" spans="1:23" ht="15" customHeight="1" x14ac:dyDescent="0.25">
      <c r="A62" s="204"/>
      <c r="N62" s="204"/>
      <c r="W62" s="1"/>
    </row>
    <row r="63" spans="1:23" ht="15" customHeight="1" x14ac:dyDescent="0.25">
      <c r="A63" s="204"/>
      <c r="N63" s="204"/>
      <c r="W63" s="1"/>
    </row>
    <row r="64" spans="1:23" ht="15" customHeight="1" x14ac:dyDescent="0.25">
      <c r="A64" s="204"/>
      <c r="N64" s="204"/>
    </row>
    <row r="65" spans="1:14" ht="15" customHeight="1" x14ac:dyDescent="0.25">
      <c r="A65" s="204"/>
      <c r="N65" s="204"/>
    </row>
    <row r="66" spans="1:14" ht="15.75" customHeight="1" thickBot="1" x14ac:dyDescent="0.3">
      <c r="A66" s="204"/>
      <c r="B66" s="4" t="s">
        <v>145</v>
      </c>
      <c r="D66" s="4"/>
      <c r="E66" s="4"/>
      <c r="F66" s="4"/>
      <c r="G66" s="4"/>
      <c r="H66" s="4"/>
      <c r="I66" s="4"/>
      <c r="N66" s="204"/>
    </row>
    <row r="67" spans="1:14" ht="15" customHeight="1" x14ac:dyDescent="0.35">
      <c r="A67" s="204"/>
      <c r="B67" s="37" t="s">
        <v>146</v>
      </c>
      <c r="C67" s="38"/>
      <c r="D67" s="38"/>
      <c r="E67" s="38"/>
      <c r="F67" s="38"/>
      <c r="G67" s="38"/>
      <c r="H67" s="38"/>
      <c r="I67" s="38"/>
      <c r="J67" s="38"/>
      <c r="K67" s="40" t="str">
        <f>IFERROR($L$50*($F$25+$F$27),"")</f>
        <v/>
      </c>
      <c r="L67" s="40" t="str">
        <f>IFERROR($L$34*($F$26),"")</f>
        <v/>
      </c>
      <c r="M67" s="85" t="str">
        <f>IFERROR(L67+K67,"")</f>
        <v/>
      </c>
      <c r="N67" s="204"/>
    </row>
    <row r="68" spans="1:14" ht="15" customHeight="1" x14ac:dyDescent="0.35">
      <c r="A68" s="204"/>
      <c r="B68" s="39" t="s">
        <v>147</v>
      </c>
      <c r="J68" s="19" t="str">
        <f>IFERROR($G$35*($F$25+$F$27),"")</f>
        <v/>
      </c>
      <c r="K68" s="19" t="str">
        <f>IFERROR($L$50*($F$25+$F$27),"")</f>
        <v/>
      </c>
      <c r="L68" s="19" t="str">
        <f>IFERROR($L$34*$F$26,"")</f>
        <v/>
      </c>
      <c r="M68" s="68" t="str">
        <f>IFERROR(J68-K68-L68,"")</f>
        <v/>
      </c>
      <c r="N68" s="204"/>
    </row>
    <row r="69" spans="1:14" ht="15" customHeight="1" x14ac:dyDescent="0.35">
      <c r="A69" s="204"/>
      <c r="B69" s="39" t="s">
        <v>148</v>
      </c>
      <c r="I69" s="19"/>
      <c r="J69" s="19" t="str">
        <f>IFERROR($L$51*($F$25+$F$27),"")</f>
        <v/>
      </c>
      <c r="K69" s="19" t="str">
        <f>IFERROR($L$35*($F$26),"")</f>
        <v/>
      </c>
      <c r="L69" s="19" t="str">
        <f>IFERROR($G$35*($F$25+$F$27),"")</f>
        <v/>
      </c>
      <c r="M69" s="68" t="str">
        <f>IFERROR(J69+K69-L69,"")</f>
        <v/>
      </c>
      <c r="N69" s="204"/>
    </row>
    <row r="70" spans="1:14" ht="15" customHeight="1" x14ac:dyDescent="0.35">
      <c r="A70" s="204"/>
      <c r="B70" s="39" t="s">
        <v>149</v>
      </c>
      <c r="I70" s="19"/>
      <c r="J70" s="19" t="str">
        <f>IFERROR($G$36*($H$25+$H$27),"")</f>
        <v/>
      </c>
      <c r="K70" s="19" t="str">
        <f>IFERROR($L$35*($H$26),"")</f>
        <v/>
      </c>
      <c r="L70" s="19" t="str">
        <f>IFERROR($L$51*($H$25+$H$27),"")</f>
        <v/>
      </c>
      <c r="M70" s="68" t="str">
        <f>IFERROR(I70+J70-K70-L70,"")</f>
        <v/>
      </c>
      <c r="N70" s="204"/>
    </row>
    <row r="71" spans="1:14" ht="15" customHeight="1" x14ac:dyDescent="0.35">
      <c r="A71" s="204"/>
      <c r="B71" s="39" t="s">
        <v>150</v>
      </c>
      <c r="J71" s="19" t="str">
        <f>IFERROR($G$36*($H$25+$H$27),"")</f>
        <v/>
      </c>
      <c r="K71" s="19" t="str">
        <f>IFERROR($L$52*($H$25+$H$27),"")</f>
        <v/>
      </c>
      <c r="L71" s="19" t="str">
        <f>IFERROR($L$36*$H$26,"")</f>
        <v/>
      </c>
      <c r="M71" s="68" t="str">
        <f>IFERROR(J71-K71-L71,"")</f>
        <v/>
      </c>
      <c r="N71" s="204"/>
    </row>
    <row r="72" spans="1:14" ht="15.75" customHeight="1" thickBot="1" x14ac:dyDescent="0.4">
      <c r="A72" s="204"/>
      <c r="B72" s="7" t="s">
        <v>151</v>
      </c>
      <c r="C72" s="6"/>
      <c r="D72" s="6"/>
      <c r="E72" s="6"/>
      <c r="F72" s="6"/>
      <c r="G72" s="6"/>
      <c r="H72" s="6"/>
      <c r="I72" s="6"/>
      <c r="J72" s="6"/>
      <c r="K72" s="41" t="str">
        <f>IFERROR($L$52*($H$25+$H$27),"")</f>
        <v/>
      </c>
      <c r="L72" s="41" t="str">
        <f>IFERROR($L$36*$H$26,"")</f>
        <v/>
      </c>
      <c r="M72" s="86" t="str">
        <f>IFERROR(K72+L72,"")</f>
        <v/>
      </c>
      <c r="N72" s="204"/>
    </row>
    <row r="73" spans="1:14" ht="21.75" customHeight="1" thickBot="1" x14ac:dyDescent="0.4">
      <c r="A73" s="204"/>
      <c r="B73" s="221" t="s">
        <v>152</v>
      </c>
      <c r="C73" s="221"/>
      <c r="D73" s="221"/>
      <c r="E73" s="221"/>
      <c r="F73" s="221"/>
      <c r="G73" s="221"/>
      <c r="H73" s="221"/>
      <c r="I73" s="221"/>
      <c r="J73" s="221"/>
      <c r="K73" s="221"/>
      <c r="L73" s="221"/>
      <c r="M73" s="221"/>
      <c r="N73" s="204"/>
    </row>
    <row r="74" spans="1:14" ht="15" customHeight="1" x14ac:dyDescent="0.25">
      <c r="A74" s="204"/>
      <c r="B74" s="222" t="s">
        <v>153</v>
      </c>
      <c r="C74" s="222"/>
      <c r="D74" s="222"/>
      <c r="E74" s="105" t="str">
        <f>IFERROR(IF(G35="N/A","N/A",MAX(IF(L26="N/A",L34,L34*(1/L26)),IF(L27="N/A",L35,L35*(1/L27)),IF(L28="N/A",L36,L36*(1/L28)),G35:G36,ABS(L50),ABS(L51),ABS(L52))),"")</f>
        <v/>
      </c>
      <c r="F74" s="59" t="str">
        <f>IF(B79&lt;&gt;"","**","")</f>
        <v/>
      </c>
      <c r="G74" s="287" t="s">
        <v>154</v>
      </c>
      <c r="H74" s="288"/>
      <c r="I74" s="92" t="str">
        <f>IFERROR(L124,"")</f>
        <v/>
      </c>
      <c r="J74" s="232" t="s">
        <v>155</v>
      </c>
      <c r="K74" s="222"/>
      <c r="L74" s="223"/>
      <c r="M74" s="93" t="str">
        <f>IFERROR(J168,"")</f>
        <v/>
      </c>
      <c r="N74" s="204"/>
    </row>
    <row r="75" spans="1:14" ht="15.75" customHeight="1" thickBot="1" x14ac:dyDescent="0.3">
      <c r="A75" s="204"/>
      <c r="B75" s="222" t="s">
        <v>156</v>
      </c>
      <c r="C75" s="222"/>
      <c r="D75" s="222"/>
      <c r="E75" s="87" t="str">
        <f>IF(G43="","",MAX(G43:G46))</f>
        <v/>
      </c>
      <c r="F75" s="222" t="s">
        <v>157</v>
      </c>
      <c r="G75" s="222"/>
      <c r="H75" s="223"/>
      <c r="I75" s="71" t="str">
        <f>IFERROR(L125,"")</f>
        <v/>
      </c>
      <c r="J75" s="222" t="s">
        <v>158</v>
      </c>
      <c r="K75" s="222"/>
      <c r="L75" s="223"/>
      <c r="M75" s="71" t="str">
        <f>IFERROR(J169,"")</f>
        <v/>
      </c>
      <c r="N75" s="204"/>
    </row>
    <row r="76" spans="1:14" ht="15.75" customHeight="1" x14ac:dyDescent="0.25">
      <c r="A76" s="204"/>
      <c r="B76" s="222" t="s">
        <v>159</v>
      </c>
      <c r="C76" s="222"/>
      <c r="D76" s="222"/>
      <c r="E76" s="127" t="str">
        <f>G33</f>
        <v/>
      </c>
      <c r="I76" s="80"/>
      <c r="J76" s="80"/>
      <c r="K76" s="81"/>
      <c r="L76" s="81"/>
      <c r="M76" s="79"/>
      <c r="N76" s="204"/>
    </row>
    <row r="77" spans="1:14" ht="15" customHeight="1" thickBot="1" x14ac:dyDescent="0.3">
      <c r="A77" s="204"/>
      <c r="B77" s="224" t="s">
        <v>160</v>
      </c>
      <c r="C77" s="224"/>
      <c r="D77" s="224"/>
      <c r="E77" s="128" t="str">
        <f>IFERROR(D24/D29,"")</f>
        <v/>
      </c>
      <c r="G77" s="167"/>
      <c r="H77" s="142"/>
      <c r="I77" s="142"/>
      <c r="J77" s="142"/>
      <c r="K77" s="81"/>
      <c r="L77" s="273" t="str">
        <f>IFERROR(IF($C$155="N/A","Special Design Provisions for Wind and Seismic does not provide a Ga for the Sheathing and Nail Type combination entered. Please review inputs or use the Four Term Equation Deflection calculation.",""),"")</f>
        <v/>
      </c>
      <c r="M77" s="281"/>
      <c r="N77" s="204"/>
    </row>
    <row r="78" spans="1:14" ht="15" customHeight="1" x14ac:dyDescent="0.25">
      <c r="A78" s="204"/>
      <c r="B78" s="132"/>
      <c r="C78" s="132"/>
      <c r="D78" s="132"/>
      <c r="E78" s="133"/>
      <c r="F78" s="167"/>
      <c r="G78" s="167"/>
      <c r="H78" s="167"/>
      <c r="I78" s="167"/>
      <c r="J78" s="167"/>
      <c r="K78" s="167"/>
      <c r="L78" s="281"/>
      <c r="M78" s="281"/>
      <c r="N78" s="204"/>
    </row>
    <row r="79" spans="1:14" ht="15" customHeight="1" x14ac:dyDescent="0.25">
      <c r="A79" s="204"/>
      <c r="B79" s="284" t="str">
        <f>IF(OR(E74="",E74="N/A"),"",IF(E74&gt;MAX(G35:G36,L34:L36,ABS(L50),ABS(L51),ABS(L52)),"**Req. Sheathing Capacity has been adjusted per the Aspect Ratio Adjustment Factor",""))</f>
        <v/>
      </c>
      <c r="C79" s="285"/>
      <c r="D79" s="285"/>
      <c r="E79" s="285"/>
      <c r="F79" s="283"/>
      <c r="G79" s="216"/>
      <c r="H79" s="216"/>
      <c r="I79" s="216"/>
      <c r="J79" s="216"/>
      <c r="K79" s="216"/>
      <c r="L79" s="281"/>
      <c r="M79" s="281"/>
      <c r="N79" s="204"/>
    </row>
    <row r="80" spans="1:14" ht="15" customHeight="1" x14ac:dyDescent="0.25">
      <c r="A80" s="204"/>
      <c r="B80" s="285"/>
      <c r="C80" s="285"/>
      <c r="D80" s="285"/>
      <c r="E80" s="285"/>
      <c r="F80" s="270" t="s">
        <v>161</v>
      </c>
      <c r="G80" s="271"/>
      <c r="H80" s="271"/>
      <c r="I80" s="271"/>
      <c r="J80" s="271"/>
      <c r="K80" s="271"/>
      <c r="L80" s="157"/>
      <c r="M80" s="157"/>
      <c r="N80" s="204"/>
    </row>
    <row r="81" spans="1:15" ht="15" customHeight="1" x14ac:dyDescent="0.25">
      <c r="A81" s="204"/>
      <c r="B81" s="20"/>
      <c r="G81" s="59"/>
      <c r="H81" s="59"/>
      <c r="I81" s="59"/>
      <c r="J81" s="59"/>
      <c r="K81" s="59"/>
      <c r="L81" s="59"/>
      <c r="M81" s="59"/>
      <c r="N81" s="204"/>
    </row>
    <row r="82" spans="1:15" ht="15.75" customHeight="1" thickBot="1" x14ac:dyDescent="0.3">
      <c r="A82" s="204"/>
      <c r="B82" s="245" t="s">
        <v>162</v>
      </c>
      <c r="C82" s="245"/>
      <c r="D82" s="245"/>
      <c r="E82" s="245"/>
      <c r="F82" s="6"/>
      <c r="G82" s="6"/>
      <c r="H82" s="6"/>
      <c r="I82" s="6"/>
      <c r="J82" s="6"/>
      <c r="K82" s="6"/>
      <c r="L82" s="6"/>
      <c r="M82" s="6"/>
      <c r="N82" s="204"/>
    </row>
    <row r="83" spans="1:15" ht="15.75" customHeight="1" x14ac:dyDescent="0.35">
      <c r="A83" s="204"/>
      <c r="B83" s="237" t="s">
        <v>253</v>
      </c>
      <c r="C83" s="237"/>
      <c r="D83" s="282"/>
      <c r="E83" s="135"/>
      <c r="F83" s="32" t="s">
        <v>164</v>
      </c>
      <c r="N83" s="204"/>
    </row>
    <row r="84" spans="1:15" ht="15.75" customHeight="1" x14ac:dyDescent="0.25">
      <c r="A84" s="204"/>
      <c r="B84" s="59"/>
      <c r="C84" s="59"/>
      <c r="D84" s="59"/>
      <c r="E84" s="59"/>
      <c r="N84" s="204"/>
    </row>
    <row r="85" spans="1:15" ht="15" customHeight="1" x14ac:dyDescent="0.25">
      <c r="A85" s="204"/>
      <c r="B85" s="236"/>
      <c r="C85" s="236"/>
      <c r="F85" s="241" t="s">
        <v>166</v>
      </c>
      <c r="G85" s="241"/>
      <c r="H85" s="241"/>
      <c r="J85" s="43" t="s">
        <v>167</v>
      </c>
      <c r="K85" s="123"/>
      <c r="L85" t="s">
        <v>169</v>
      </c>
      <c r="N85" s="204"/>
    </row>
    <row r="86" spans="1:15" ht="15" customHeight="1" x14ac:dyDescent="0.25">
      <c r="A86" s="204"/>
      <c r="B86" s="2" t="s">
        <v>170</v>
      </c>
      <c r="C86" s="275"/>
      <c r="D86" s="279"/>
      <c r="F86" s="43" t="s">
        <v>172</v>
      </c>
      <c r="G86" s="242"/>
      <c r="H86" s="243"/>
      <c r="N86" s="204"/>
    </row>
    <row r="87" spans="1:15" ht="15" customHeight="1" x14ac:dyDescent="0.25">
      <c r="A87" s="204"/>
      <c r="B87" s="162" t="s">
        <v>174</v>
      </c>
      <c r="C87" s="278"/>
      <c r="D87" s="279"/>
      <c r="F87" s="43" t="s">
        <v>176</v>
      </c>
      <c r="G87" s="126"/>
      <c r="H87" t="s">
        <v>177</v>
      </c>
      <c r="K87" s="15" t="s">
        <v>178</v>
      </c>
      <c r="L87" s="15" t="s">
        <v>179</v>
      </c>
      <c r="M87" s="15"/>
      <c r="N87" s="204"/>
      <c r="O87" s="15" t="s">
        <v>180</v>
      </c>
    </row>
    <row r="88" spans="1:15" ht="15" customHeight="1" x14ac:dyDescent="0.25">
      <c r="A88" s="204"/>
      <c r="B88" s="164"/>
      <c r="C88" s="165"/>
      <c r="F88" s="43"/>
      <c r="G88" s="46"/>
      <c r="H88" s="15"/>
      <c r="J88" s="43" t="s">
        <v>181</v>
      </c>
      <c r="K88" s="123"/>
      <c r="L88" s="89" t="str">
        <f>IF(K88="","",K88)</f>
        <v/>
      </c>
      <c r="M88" t="s">
        <v>182</v>
      </c>
      <c r="N88" s="204"/>
      <c r="O88" s="83" t="str">
        <f>IF($K$88="","",$K$88)</f>
        <v/>
      </c>
    </row>
    <row r="89" spans="1:15" ht="15" customHeight="1" x14ac:dyDescent="0.25">
      <c r="A89" s="204"/>
      <c r="B89" s="244"/>
      <c r="C89" s="244"/>
      <c r="F89" s="2"/>
      <c r="G89" s="197" t="s">
        <v>183</v>
      </c>
      <c r="H89" s="197"/>
      <c r="J89" s="43" t="s">
        <v>184</v>
      </c>
      <c r="K89" s="123"/>
      <c r="L89" s="89" t="str">
        <f>IF(K89="","",K89)</f>
        <v/>
      </c>
      <c r="M89" t="s">
        <v>164</v>
      </c>
      <c r="N89" s="204"/>
      <c r="O89" s="131" t="str">
        <f>IF($K$89="","",$K$89)</f>
        <v/>
      </c>
    </row>
    <row r="90" spans="1:15" ht="17.25" customHeight="1" x14ac:dyDescent="0.35">
      <c r="A90" s="204"/>
      <c r="B90" s="2" t="s">
        <v>185</v>
      </c>
      <c r="C90" s="249"/>
      <c r="D90" s="277"/>
      <c r="F90" s="43"/>
      <c r="G90" s="15"/>
      <c r="J90" s="43" t="s">
        <v>186</v>
      </c>
      <c r="K90" s="123"/>
      <c r="L90" s="89" t="str">
        <f>IF(K90="","",K90)</f>
        <v/>
      </c>
      <c r="M90" t="s">
        <v>182</v>
      </c>
      <c r="N90" s="204"/>
      <c r="O90" s="83" t="str">
        <f>IF($K$90="","",$K$90)</f>
        <v/>
      </c>
    </row>
    <row r="91" spans="1:15" ht="17.25" customHeight="1" x14ac:dyDescent="0.35">
      <c r="A91" s="204"/>
      <c r="B91" s="2" t="s">
        <v>187</v>
      </c>
      <c r="C91" s="249"/>
      <c r="D91" s="277"/>
      <c r="F91" s="2" t="s">
        <v>188</v>
      </c>
      <c r="G91" s="202"/>
      <c r="N91" s="204"/>
    </row>
    <row r="92" spans="1:15" ht="15" customHeight="1" x14ac:dyDescent="0.25">
      <c r="A92" s="204"/>
      <c r="B92" s="43"/>
      <c r="C92" s="2"/>
      <c r="H92" s="15"/>
      <c r="N92" s="204"/>
    </row>
    <row r="93" spans="1:15" ht="15.75" customHeight="1" thickBot="1" x14ac:dyDescent="0.3">
      <c r="A93" s="204"/>
      <c r="B93" s="245" t="s">
        <v>189</v>
      </c>
      <c r="C93" s="245"/>
      <c r="D93" s="245"/>
      <c r="E93" s="245"/>
      <c r="F93" s="245"/>
      <c r="N93" s="204"/>
    </row>
    <row r="94" spans="1:15" ht="15" customHeight="1" x14ac:dyDescent="0.25">
      <c r="A94" s="204"/>
      <c r="N94" s="204"/>
    </row>
    <row r="95" spans="1:15" ht="15" customHeight="1" x14ac:dyDescent="0.25">
      <c r="A95" s="204"/>
      <c r="N95" s="204"/>
    </row>
    <row r="96" spans="1:15" ht="15" customHeight="1" x14ac:dyDescent="0.25">
      <c r="A96" s="204"/>
      <c r="N96" s="204"/>
    </row>
    <row r="97" spans="1:14" ht="15.75" customHeight="1" thickBot="1" x14ac:dyDescent="0.3">
      <c r="A97" s="204"/>
      <c r="C97" s="51" t="s">
        <v>190</v>
      </c>
      <c r="D97" s="52" t="s">
        <v>191</v>
      </c>
      <c r="E97" s="51" t="s">
        <v>192</v>
      </c>
      <c r="F97" s="52" t="s">
        <v>193</v>
      </c>
      <c r="G97" s="51" t="s">
        <v>194</v>
      </c>
      <c r="H97" s="52" t="s">
        <v>195</v>
      </c>
      <c r="I97" s="15"/>
      <c r="J97" s="69" t="s">
        <v>170</v>
      </c>
      <c r="K97" t="str">
        <f>IF(OR($C$86="",$C$87=""),"",$C$86&amp;" "&amp;$C$87)</f>
        <v/>
      </c>
      <c r="N97" s="204"/>
    </row>
    <row r="98" spans="1:14" ht="18" customHeight="1" thickTop="1" x14ac:dyDescent="0.35">
      <c r="A98" s="204"/>
      <c r="B98" s="2" t="s">
        <v>196</v>
      </c>
      <c r="C98" s="44" t="str">
        <f>IF(E83="","",IFERROR(((E83/D29)*(D25+G49))/D25,""))</f>
        <v/>
      </c>
      <c r="D98" s="25" t="str">
        <f>C98</f>
        <v/>
      </c>
      <c r="E98" s="44" t="str">
        <f>IF(E83="","",IFERROR(((E83/D29)*(D26+G50+G51))/D26,""))</f>
        <v/>
      </c>
      <c r="F98" s="25" t="str">
        <f>E98</f>
        <v/>
      </c>
      <c r="G98" s="44" t="str">
        <f>IF(E83="","",IFERROR(((E83/D29)*(G52+D27))/D27,""))</f>
        <v/>
      </c>
      <c r="H98" s="25" t="str">
        <f>G98</f>
        <v/>
      </c>
      <c r="I98" s="32" t="s">
        <v>197</v>
      </c>
      <c r="J98" s="158" t="s">
        <v>167</v>
      </c>
      <c r="K98" t="str">
        <f>IF($K$85="","",$K$85)</f>
        <v/>
      </c>
      <c r="N98" s="204"/>
    </row>
    <row r="99" spans="1:14" ht="15" customHeight="1" x14ac:dyDescent="0.25">
      <c r="A99" s="204"/>
      <c r="B99" s="2" t="s">
        <v>176</v>
      </c>
      <c r="C99" s="28" t="str">
        <f>IF($G$87="","",$G$87)</f>
        <v/>
      </c>
      <c r="D99" s="22" t="str">
        <f t="shared" ref="D99:H99" si="0">IF($G$87="","",$G$87)</f>
        <v/>
      </c>
      <c r="E99" s="28" t="str">
        <f t="shared" si="0"/>
        <v/>
      </c>
      <c r="F99" s="22" t="str">
        <f t="shared" si="0"/>
        <v/>
      </c>
      <c r="G99" s="28" t="str">
        <f t="shared" si="0"/>
        <v/>
      </c>
      <c r="H99" s="22" t="str">
        <f t="shared" si="0"/>
        <v/>
      </c>
      <c r="I99" s="32" t="s">
        <v>177</v>
      </c>
      <c r="J99" s="46"/>
      <c r="N99" s="204"/>
    </row>
    <row r="100" spans="1:14" ht="15" customHeight="1" x14ac:dyDescent="0.25">
      <c r="A100" s="204"/>
      <c r="B100" s="2" t="s">
        <v>198</v>
      </c>
      <c r="C100" s="29" t="str">
        <f>IF(D28="","",D28)</f>
        <v/>
      </c>
      <c r="D100" s="23" t="str">
        <f>IF(D28="","",D28-F27)</f>
        <v/>
      </c>
      <c r="E100" s="29" t="str">
        <f>$D$100</f>
        <v/>
      </c>
      <c r="F100" s="23" t="str">
        <f>$D$100</f>
        <v/>
      </c>
      <c r="G100" s="29" t="str">
        <f>$D$100</f>
        <v/>
      </c>
      <c r="H100" s="23" t="str">
        <f>C100</f>
        <v/>
      </c>
      <c r="I100" s="32" t="s">
        <v>199</v>
      </c>
      <c r="J100" s="47"/>
      <c r="N100" s="204"/>
    </row>
    <row r="101" spans="1:14" x14ac:dyDescent="0.25">
      <c r="A101" s="204"/>
      <c r="B101" s="2" t="s">
        <v>200</v>
      </c>
      <c r="C101" s="200"/>
      <c r="D101" s="201"/>
      <c r="E101" s="200"/>
      <c r="F101" s="201"/>
      <c r="G101" s="200"/>
      <c r="H101" s="201"/>
      <c r="J101" s="47"/>
      <c r="N101" s="204"/>
    </row>
    <row r="102" spans="1:14" x14ac:dyDescent="0.25">
      <c r="A102" s="204"/>
      <c r="B102" s="2" t="s">
        <v>201</v>
      </c>
      <c r="C102" s="193"/>
      <c r="D102" s="194"/>
      <c r="E102" s="193"/>
      <c r="F102" s="194"/>
      <c r="G102" s="193"/>
      <c r="H102" s="194"/>
      <c r="J102" s="47"/>
      <c r="N102" s="204"/>
    </row>
    <row r="103" spans="1:14" ht="17.25" x14ac:dyDescent="0.25">
      <c r="A103" s="204"/>
      <c r="B103" s="2" t="s">
        <v>203</v>
      </c>
      <c r="C103" s="195"/>
      <c r="D103" s="196"/>
      <c r="E103" s="195"/>
      <c r="F103" s="196"/>
      <c r="G103" s="195"/>
      <c r="H103" s="196"/>
      <c r="I103" s="32" t="s">
        <v>204</v>
      </c>
      <c r="J103" s="47"/>
      <c r="N103" s="204"/>
    </row>
    <row r="104" spans="1:14" ht="17.25" customHeight="1" x14ac:dyDescent="0.25">
      <c r="A104" s="204"/>
      <c r="B104" s="2" t="s">
        <v>205</v>
      </c>
      <c r="C104" s="30" t="str">
        <f>IF(C$103="",IF(C$102="","",VLOOKUP(C$102,Table2[],2,FALSE)*C$101),C$103)</f>
        <v/>
      </c>
      <c r="D104" s="21" t="str">
        <f>IF(D$103="",IF(D$102="","",VLOOKUP(D$102,Table2[],2,FALSE)*D$101),D$103)</f>
        <v/>
      </c>
      <c r="E104" s="30" t="str">
        <f>IF(E$103="",IF(E$102="","",VLOOKUP(E$102,Table2[],2,FALSE)*E$101),E$103)</f>
        <v/>
      </c>
      <c r="F104" s="21" t="str">
        <f>IF(F$103="",IF(F$102="","",VLOOKUP(F$102,Table2[],2,FALSE)*F$101),F$103)</f>
        <v/>
      </c>
      <c r="G104" s="30" t="str">
        <f>IF(G$103="",IF(G$102="","",VLOOKUP(G$102,Table2[],2,FALSE)*G$101),G$103)</f>
        <v/>
      </c>
      <c r="H104" s="21" t="str">
        <f>IF(H$103="",IF(H$102="","",VLOOKUP(H$102,Table2[],2,FALSE)*H$101),H$103)</f>
        <v/>
      </c>
      <c r="I104" s="32" t="s">
        <v>204</v>
      </c>
      <c r="J104" s="15"/>
      <c r="N104" s="204"/>
    </row>
    <row r="105" spans="1:14" ht="15" customHeight="1" x14ac:dyDescent="0.35">
      <c r="A105" s="204"/>
      <c r="B105" s="2" t="s">
        <v>206</v>
      </c>
      <c r="C105" s="31" t="str">
        <f>IF($C$90&lt;&gt;"",$C$90,IF(OR(C86="",C87=""),"",(IF($C$86="Other Material",0,(VLOOKUP(C86&amp;C87,Table25,3,FALSE))))))</f>
        <v/>
      </c>
      <c r="D105" s="48" t="str">
        <f>C105</f>
        <v/>
      </c>
      <c r="E105" s="31" t="str">
        <f>C105</f>
        <v/>
      </c>
      <c r="F105" s="48" t="str">
        <f>C105</f>
        <v/>
      </c>
      <c r="G105" s="31" t="str">
        <f>C105</f>
        <v/>
      </c>
      <c r="H105" s="24" t="str">
        <f>C105</f>
        <v/>
      </c>
      <c r="I105" s="32" t="s">
        <v>207</v>
      </c>
      <c r="J105" s="48"/>
      <c r="N105" s="204"/>
    </row>
    <row r="106" spans="1:14" ht="15" customHeight="1" x14ac:dyDescent="0.25">
      <c r="A106" s="204"/>
      <c r="B106" s="2" t="s">
        <v>181</v>
      </c>
      <c r="C106" s="30" t="str">
        <f>IF(K88="","",K88)</f>
        <v/>
      </c>
      <c r="D106" s="21" t="str">
        <f>C106</f>
        <v/>
      </c>
      <c r="E106" s="30" t="str">
        <f>IF($O$88="","",$O$88)</f>
        <v/>
      </c>
      <c r="F106" s="21" t="str">
        <f>E106</f>
        <v/>
      </c>
      <c r="G106" s="30" t="str">
        <f>IF(L88="","",L88)</f>
        <v/>
      </c>
      <c r="H106" s="21" t="str">
        <f>G106</f>
        <v/>
      </c>
      <c r="I106" s="32" t="s">
        <v>182</v>
      </c>
      <c r="J106" s="15"/>
      <c r="N106" s="204"/>
    </row>
    <row r="107" spans="1:14" ht="15" customHeight="1" x14ac:dyDescent="0.35">
      <c r="A107" s="204"/>
      <c r="B107" s="2" t="s">
        <v>208</v>
      </c>
      <c r="C107" s="44" t="str">
        <f t="shared" ref="C107:H107" si="1">IFERROR(C98/(12/C106),"")</f>
        <v/>
      </c>
      <c r="D107" s="25" t="str">
        <f t="shared" si="1"/>
        <v/>
      </c>
      <c r="E107" s="44" t="str">
        <f t="shared" si="1"/>
        <v/>
      </c>
      <c r="F107" s="25" t="str">
        <f t="shared" si="1"/>
        <v/>
      </c>
      <c r="G107" s="44" t="str">
        <f t="shared" si="1"/>
        <v/>
      </c>
      <c r="H107" s="25" t="str">
        <f t="shared" si="1"/>
        <v/>
      </c>
      <c r="I107" s="32" t="s">
        <v>197</v>
      </c>
      <c r="J107" s="19"/>
      <c r="N107" s="204"/>
    </row>
    <row r="108" spans="1:14" ht="15" customHeight="1" x14ac:dyDescent="0.35">
      <c r="A108" s="204"/>
      <c r="B108" s="2" t="s">
        <v>209</v>
      </c>
      <c r="C108" s="45" t="str">
        <f>IF(OR(K85="",C87="",E83="",C107=""),"",(VLOOKUP(K85&amp;C87,FastenerSlip,7,FALSE)*((C107/VLOOKUP(K85&amp;C87,FastenerSlip,3,FALSE))^VLOOKUP(K85&amp;C87,FastenerSlip,5,FALSE))))</f>
        <v/>
      </c>
      <c r="D108" s="26" t="str">
        <f>C108</f>
        <v/>
      </c>
      <c r="E108" s="45" t="str">
        <f>IF(OR(K85="",C87="",E83="",E107=""),"",(VLOOKUP(K85&amp;C87,FastenerSlip,7,FALSE)*((E107/VLOOKUP(K85&amp;C87,FastenerSlip,3,FALSE))^VLOOKUP(K85&amp;C87,FastenerSlip,5,FALSE))))</f>
        <v/>
      </c>
      <c r="F108" s="26" t="str">
        <f>E108</f>
        <v/>
      </c>
      <c r="G108" s="45" t="str">
        <f>IF(OR(K85="",C87="",E83="",G107=""),"",(VLOOKUP(K85&amp;C87,FastenerSlip,7,FALSE)*((G107/VLOOKUP(K85&amp;C87,FastenerSlip,3,FALSE))^VLOOKUP(K85&amp;C87,FastenerSlip,5,FALSE))))</f>
        <v/>
      </c>
      <c r="H108" s="26" t="str">
        <f>G108</f>
        <v/>
      </c>
      <c r="I108" s="32" t="s">
        <v>182</v>
      </c>
      <c r="J108" s="49"/>
      <c r="N108" s="204"/>
    </row>
    <row r="109" spans="1:14" ht="15" customHeight="1" x14ac:dyDescent="0.25">
      <c r="A109" s="204"/>
      <c r="B109" s="2" t="s">
        <v>210</v>
      </c>
      <c r="C109" s="29" t="str">
        <f>IF(D25="","",D25)</f>
        <v/>
      </c>
      <c r="D109" s="23" t="str">
        <f>C109</f>
        <v/>
      </c>
      <c r="E109" s="29" t="str">
        <f>IF(D26="","",D26)</f>
        <v/>
      </c>
      <c r="F109" s="23" t="str">
        <f>E109</f>
        <v/>
      </c>
      <c r="G109" s="29" t="str">
        <f>IF(D27="","",D27)</f>
        <v/>
      </c>
      <c r="H109" s="23" t="str">
        <f>G109</f>
        <v/>
      </c>
      <c r="I109" s="32" t="s">
        <v>199</v>
      </c>
      <c r="J109" s="47"/>
      <c r="N109" s="204"/>
    </row>
    <row r="110" spans="1:14" ht="15" customHeight="1" x14ac:dyDescent="0.25">
      <c r="A110" s="204"/>
      <c r="B110" s="2" t="s">
        <v>184</v>
      </c>
      <c r="C110" s="30" t="str">
        <f>IF(K89="","",K89)</f>
        <v/>
      </c>
      <c r="D110" s="21" t="str">
        <f>C110</f>
        <v/>
      </c>
      <c r="E110" s="30" t="str">
        <f>$O$89</f>
        <v/>
      </c>
      <c r="F110" s="21" t="str">
        <f>E110</f>
        <v/>
      </c>
      <c r="G110" s="30" t="str">
        <f>L89</f>
        <v/>
      </c>
      <c r="H110" s="21" t="str">
        <f>G110</f>
        <v/>
      </c>
      <c r="I110" s="32" t="s">
        <v>164</v>
      </c>
      <c r="J110" s="15"/>
      <c r="N110" s="204"/>
    </row>
    <row r="111" spans="1:14" ht="15" customHeight="1" x14ac:dyDescent="0.25">
      <c r="A111" s="204"/>
      <c r="B111" s="2" t="s">
        <v>211</v>
      </c>
      <c r="C111" s="50" t="str">
        <f>IF(K90="","",K90)</f>
        <v/>
      </c>
      <c r="D111" s="27" t="str">
        <f>C111</f>
        <v/>
      </c>
      <c r="E111" s="50" t="str">
        <f>$O$90</f>
        <v/>
      </c>
      <c r="F111" s="27" t="str">
        <f>E111</f>
        <v/>
      </c>
      <c r="G111" s="50" t="str">
        <f>L90</f>
        <v/>
      </c>
      <c r="H111" s="27" t="str">
        <f>G111</f>
        <v/>
      </c>
      <c r="I111" s="32" t="s">
        <v>182</v>
      </c>
      <c r="J111" s="15"/>
      <c r="N111" s="204"/>
    </row>
    <row r="112" spans="1:14" ht="15" customHeight="1" x14ac:dyDescent="0.25">
      <c r="A112" s="204"/>
      <c r="N112" s="204"/>
    </row>
    <row r="113" spans="1:14" ht="15.75" customHeight="1" thickBot="1" x14ac:dyDescent="0.3">
      <c r="A113" s="204"/>
      <c r="C113" s="4" t="s">
        <v>212</v>
      </c>
      <c r="N113" s="204"/>
    </row>
    <row r="114" spans="1:14" ht="15" customHeight="1" x14ac:dyDescent="0.25">
      <c r="A114" s="204"/>
      <c r="C114" s="252" t="s">
        <v>213</v>
      </c>
      <c r="D114" s="253"/>
      <c r="E114" s="253"/>
      <c r="F114" s="254"/>
      <c r="G114" s="252" t="s">
        <v>214</v>
      </c>
      <c r="H114" s="253"/>
      <c r="I114" s="253"/>
      <c r="J114" s="254"/>
      <c r="N114" s="204"/>
    </row>
    <row r="115" spans="1:14" ht="15" customHeight="1" x14ac:dyDescent="0.25">
      <c r="A115" s="204"/>
      <c r="C115" s="18" t="s">
        <v>215</v>
      </c>
      <c r="D115" s="17" t="s">
        <v>216</v>
      </c>
      <c r="E115" s="17" t="s">
        <v>217</v>
      </c>
      <c r="F115" s="16" t="s">
        <v>218</v>
      </c>
      <c r="G115" s="18" t="s">
        <v>215</v>
      </c>
      <c r="H115" s="17" t="s">
        <v>216</v>
      </c>
      <c r="I115" s="17" t="s">
        <v>217</v>
      </c>
      <c r="J115" s="16" t="s">
        <v>218</v>
      </c>
      <c r="N115" s="204"/>
    </row>
    <row r="116" spans="1:14" ht="15" customHeight="1" x14ac:dyDescent="0.25">
      <c r="A116" s="204"/>
      <c r="C116" s="14" t="s">
        <v>219</v>
      </c>
      <c r="D116" s="13" t="s">
        <v>220</v>
      </c>
      <c r="E116" s="13" t="s">
        <v>221</v>
      </c>
      <c r="F116" s="12" t="s">
        <v>222</v>
      </c>
      <c r="G116" s="14" t="s">
        <v>219</v>
      </c>
      <c r="H116" s="13" t="s">
        <v>220</v>
      </c>
      <c r="I116" s="13" t="s">
        <v>221</v>
      </c>
      <c r="J116" s="12" t="s">
        <v>223</v>
      </c>
      <c r="N116" s="204"/>
    </row>
    <row r="117" spans="1:14" ht="15.75" customHeight="1" thickBot="1" x14ac:dyDescent="0.3">
      <c r="A117" s="204"/>
      <c r="C117" s="11" t="str">
        <f>IFERROR(8*C98*C100^3/(C99*C104*C109),"")</f>
        <v/>
      </c>
      <c r="D117" s="10" t="str">
        <f>IFERROR(C98*C100/(C105),"")</f>
        <v/>
      </c>
      <c r="E117" s="10" t="str">
        <f>IFERROR(0.75*C100*C108,"")</f>
        <v/>
      </c>
      <c r="F117" s="9" t="str">
        <f>IFERROR(C111*C98*C100/C110*(C100/C109),"")</f>
        <v/>
      </c>
      <c r="G117" s="11" t="str">
        <f>IFERROR(8*D98*D100^3/(D99*D104*D109),"")</f>
        <v/>
      </c>
      <c r="H117" s="10" t="str">
        <f>IFERROR(D98*D100/(D105),"")</f>
        <v/>
      </c>
      <c r="I117" s="10" t="str">
        <f>IFERROR(0.75*D100*D108,"")</f>
        <v/>
      </c>
      <c r="J117" s="9" t="str">
        <f>IFERROR(D111*D98*D100/D110*(D100/D109),"")</f>
        <v/>
      </c>
      <c r="N117" s="204"/>
    </row>
    <row r="118" spans="1:14" ht="15.75" customHeight="1" thickBot="1" x14ac:dyDescent="0.3">
      <c r="A118" s="204"/>
      <c r="C118" s="7"/>
      <c r="D118" s="6"/>
      <c r="E118" s="54" t="s">
        <v>224</v>
      </c>
      <c r="F118" s="5" t="str">
        <f>IF(OR(C117="",D117="",E117="",F117=""),"",SUM(C117:F117))</f>
        <v/>
      </c>
      <c r="G118" s="7"/>
      <c r="H118" s="6"/>
      <c r="I118" s="54" t="s">
        <v>224</v>
      </c>
      <c r="J118" s="5" t="str">
        <f>IF(OR(G117="",H117="",I117="",J117=""),"",SUM(G117:J117))</f>
        <v/>
      </c>
      <c r="N118" s="204"/>
    </row>
    <row r="119" spans="1:14" ht="15" customHeight="1" x14ac:dyDescent="0.25">
      <c r="A119" s="204"/>
      <c r="C119" s="252" t="s">
        <v>225</v>
      </c>
      <c r="D119" s="253"/>
      <c r="E119" s="253"/>
      <c r="F119" s="254"/>
      <c r="G119" s="252" t="s">
        <v>226</v>
      </c>
      <c r="H119" s="253"/>
      <c r="I119" s="253"/>
      <c r="J119" s="254"/>
      <c r="N119" s="204"/>
    </row>
    <row r="120" spans="1:14" ht="15" customHeight="1" x14ac:dyDescent="0.25">
      <c r="A120" s="204"/>
      <c r="C120" s="18" t="s">
        <v>215</v>
      </c>
      <c r="D120" s="17" t="s">
        <v>216</v>
      </c>
      <c r="E120" s="17" t="s">
        <v>217</v>
      </c>
      <c r="F120" s="16" t="s">
        <v>218</v>
      </c>
      <c r="G120" s="18" t="s">
        <v>215</v>
      </c>
      <c r="H120" s="17" t="s">
        <v>216</v>
      </c>
      <c r="I120" s="17" t="s">
        <v>217</v>
      </c>
      <c r="J120" s="16" t="s">
        <v>218</v>
      </c>
      <c r="N120" s="204"/>
    </row>
    <row r="121" spans="1:14" ht="15.75" customHeight="1" thickBot="1" x14ac:dyDescent="0.3">
      <c r="A121" s="204"/>
      <c r="C121" s="14" t="s">
        <v>219</v>
      </c>
      <c r="D121" s="13" t="s">
        <v>220</v>
      </c>
      <c r="E121" s="13" t="s">
        <v>221</v>
      </c>
      <c r="F121" s="12" t="s">
        <v>222</v>
      </c>
      <c r="G121" s="14" t="s">
        <v>219</v>
      </c>
      <c r="H121" s="13" t="s">
        <v>220</v>
      </c>
      <c r="I121" s="13" t="s">
        <v>221</v>
      </c>
      <c r="J121" s="12" t="s">
        <v>223</v>
      </c>
      <c r="N121" s="204"/>
    </row>
    <row r="122" spans="1:14" ht="15.75" customHeight="1" thickBot="1" x14ac:dyDescent="0.3">
      <c r="A122" s="204"/>
      <c r="C122" s="11" t="str">
        <f>IFERROR(8*E98*E100^3/(E99*E104*E109),"")</f>
        <v/>
      </c>
      <c r="D122" s="10" t="str">
        <f>IFERROR(E98*E100/(E105),"")</f>
        <v/>
      </c>
      <c r="E122" s="10" t="str">
        <f>IFERROR(0.75*E100*E108,"")</f>
        <v/>
      </c>
      <c r="F122" s="9" t="str">
        <f>IFERROR(E111*E98*E100/E110*(E100/E109),"")</f>
        <v/>
      </c>
      <c r="G122" s="11" t="str">
        <f>IFERROR(8*F98*F100^3/(F99*F104*F109),"")</f>
        <v/>
      </c>
      <c r="H122" s="10" t="str">
        <f>IFERROR(F98*F100/(F105),"")</f>
        <v/>
      </c>
      <c r="I122" s="10" t="str">
        <f>IFERROR(0.75*F100*F108,"")</f>
        <v/>
      </c>
      <c r="J122" s="9" t="str">
        <f>IFERROR(F111*F98*F100/F110*(F100/F109),"")</f>
        <v/>
      </c>
      <c r="L122" s="55" t="s">
        <v>227</v>
      </c>
      <c r="N122" s="204"/>
    </row>
    <row r="123" spans="1:14" ht="15.75" customHeight="1" thickBot="1" x14ac:dyDescent="0.3">
      <c r="A123" s="204"/>
      <c r="C123" s="7"/>
      <c r="D123" s="6"/>
      <c r="E123" s="54" t="s">
        <v>224</v>
      </c>
      <c r="F123" s="5" t="str">
        <f>IF(OR(C122="",D122="",E122="",F122=""),"",SUM(C122:F122))</f>
        <v/>
      </c>
      <c r="G123" s="7"/>
      <c r="H123" s="6"/>
      <c r="I123" s="54" t="s">
        <v>224</v>
      </c>
      <c r="J123" s="5" t="str">
        <f>IF(OR(G122="",H122="",I122="",J122=""),"",SUM(G122:J122))</f>
        <v/>
      </c>
      <c r="L123" s="56" t="s">
        <v>228</v>
      </c>
      <c r="N123" s="204"/>
    </row>
    <row r="124" spans="1:14" ht="15" customHeight="1" x14ac:dyDescent="0.25">
      <c r="A124" s="204"/>
      <c r="C124" s="252" t="s">
        <v>229</v>
      </c>
      <c r="D124" s="253"/>
      <c r="E124" s="253"/>
      <c r="F124" s="254"/>
      <c r="G124" s="252" t="s">
        <v>230</v>
      </c>
      <c r="H124" s="253"/>
      <c r="I124" s="253"/>
      <c r="J124" s="254"/>
      <c r="L124" s="57" t="str">
        <f>IF(J118="","",AVERAGE(F118,J118,F123,J123,F128,J128))</f>
        <v/>
      </c>
      <c r="M124" t="s">
        <v>182</v>
      </c>
      <c r="N124" s="204"/>
    </row>
    <row r="125" spans="1:14" ht="15.75" customHeight="1" thickBot="1" x14ac:dyDescent="0.3">
      <c r="A125" s="204"/>
      <c r="C125" s="18" t="s">
        <v>215</v>
      </c>
      <c r="D125" s="17" t="s">
        <v>216</v>
      </c>
      <c r="E125" s="17" t="s">
        <v>217</v>
      </c>
      <c r="F125" s="16" t="s">
        <v>218</v>
      </c>
      <c r="G125" s="18" t="s">
        <v>215</v>
      </c>
      <c r="H125" s="17" t="s">
        <v>216</v>
      </c>
      <c r="I125" s="17" t="s">
        <v>217</v>
      </c>
      <c r="J125" s="16" t="s">
        <v>218</v>
      </c>
      <c r="L125" s="58" t="str">
        <f>IFERROR(IF(G91="",1,G91)*L124/(C100*12),"")</f>
        <v/>
      </c>
      <c r="M125" t="s">
        <v>231</v>
      </c>
      <c r="N125" s="204"/>
    </row>
    <row r="126" spans="1:14" ht="15" customHeight="1" x14ac:dyDescent="0.25">
      <c r="A126" s="204"/>
      <c r="C126" s="14" t="s">
        <v>219</v>
      </c>
      <c r="D126" s="13" t="s">
        <v>220</v>
      </c>
      <c r="E126" s="13" t="s">
        <v>221</v>
      </c>
      <c r="F126" s="12" t="s">
        <v>222</v>
      </c>
      <c r="G126" s="14" t="s">
        <v>219</v>
      </c>
      <c r="H126" s="13" t="s">
        <v>220</v>
      </c>
      <c r="I126" s="13" t="s">
        <v>221</v>
      </c>
      <c r="J126" s="12" t="s">
        <v>223</v>
      </c>
      <c r="N126" s="204"/>
    </row>
    <row r="127" spans="1:14" ht="15.75" customHeight="1" thickBot="1" x14ac:dyDescent="0.3">
      <c r="A127" s="204"/>
      <c r="C127" s="11" t="str">
        <f>IFERROR(8*G98*G100^3/(G99*G104*G109),"")</f>
        <v/>
      </c>
      <c r="D127" s="10" t="str">
        <f>IFERROR(G98*G100/(G105),"")</f>
        <v/>
      </c>
      <c r="E127" s="10" t="str">
        <f>IFERROR(0.75*G100*G108,"")</f>
        <v/>
      </c>
      <c r="F127" s="9" t="str">
        <f>IFERROR(G111*G98*G100/G110*(G100/G109),"")</f>
        <v/>
      </c>
      <c r="G127" s="11" t="str">
        <f>IFERROR(8*H98*H100^3/(H99*H104*H109),"")</f>
        <v/>
      </c>
      <c r="H127" s="10" t="str">
        <f>IFERROR(H98*H100/(H105),"")</f>
        <v/>
      </c>
      <c r="I127" s="10" t="str">
        <f>IFERROR(0.75*H100*H108,"")</f>
        <v/>
      </c>
      <c r="J127" s="9" t="str">
        <f>IFERROR(H111*H98*H100/H110*(H100/H109),"")</f>
        <v/>
      </c>
      <c r="N127" s="204"/>
    </row>
    <row r="128" spans="1:14" ht="15.75" customHeight="1" thickBot="1" x14ac:dyDescent="0.3">
      <c r="A128" s="204"/>
      <c r="C128" s="7"/>
      <c r="D128" s="6"/>
      <c r="E128" s="54" t="s">
        <v>224</v>
      </c>
      <c r="F128" s="5" t="str">
        <f>IF(OR(C127="",D127="",E127="",F127=""),"",SUM(C127:F127))</f>
        <v/>
      </c>
      <c r="G128" s="7"/>
      <c r="H128" s="6"/>
      <c r="I128" s="54" t="s">
        <v>224</v>
      </c>
      <c r="J128" s="5" t="str">
        <f>IF(OR(G127="",H127="",I127="",J127=""),"",SUM(G127:J127))</f>
        <v/>
      </c>
      <c r="N128" s="204"/>
    </row>
    <row r="129" spans="1:14" ht="15.75" customHeight="1" x14ac:dyDescent="0.25">
      <c r="A129" s="204"/>
      <c r="E129" s="2"/>
      <c r="F129" s="20"/>
      <c r="I129" s="2"/>
      <c r="J129" s="20"/>
      <c r="N129" s="204"/>
    </row>
    <row r="130" spans="1:14" ht="15" customHeight="1" x14ac:dyDescent="0.25">
      <c r="A130" s="204"/>
      <c r="E130" s="2"/>
      <c r="F130" s="20"/>
      <c r="I130" s="2"/>
      <c r="J130" s="20"/>
      <c r="N130" s="204"/>
    </row>
    <row r="131" spans="1:14" ht="15.75" customHeight="1" thickBot="1" x14ac:dyDescent="0.3">
      <c r="A131" s="204"/>
      <c r="B131" s="245" t="s">
        <v>162</v>
      </c>
      <c r="C131" s="245"/>
      <c r="D131" s="245"/>
      <c r="E131" s="225"/>
      <c r="F131" s="6"/>
      <c r="G131" s="6"/>
      <c r="H131" s="6"/>
      <c r="I131" s="6"/>
      <c r="J131" s="6"/>
      <c r="K131" s="6"/>
      <c r="L131" s="6"/>
      <c r="M131" s="6"/>
      <c r="N131" s="204"/>
    </row>
    <row r="132" spans="1:14" ht="15.75" customHeight="1" x14ac:dyDescent="0.35">
      <c r="A132" s="204"/>
      <c r="B132" s="237" t="s">
        <v>163</v>
      </c>
      <c r="C132" s="237"/>
      <c r="D132" s="237"/>
      <c r="E132" s="160" t="str">
        <f>IF(E83="","",E83)</f>
        <v/>
      </c>
      <c r="F132" s="32" t="s">
        <v>164</v>
      </c>
      <c r="N132" s="204"/>
    </row>
    <row r="133" spans="1:14" ht="15.75" customHeight="1" x14ac:dyDescent="0.25">
      <c r="A133" s="204"/>
      <c r="B133" s="15"/>
      <c r="C133" s="15"/>
      <c r="E133" s="161"/>
      <c r="F133" s="32"/>
      <c r="N133" s="204"/>
    </row>
    <row r="134" spans="1:14" ht="15.75" customHeight="1" x14ac:dyDescent="0.25">
      <c r="A134" s="204"/>
      <c r="B134" s="15"/>
      <c r="C134" s="15"/>
      <c r="E134" s="161"/>
      <c r="F134" s="32"/>
      <c r="G134" s="15" t="s">
        <v>166</v>
      </c>
      <c r="J134" s="2"/>
      <c r="K134" s="74"/>
      <c r="N134" s="204"/>
    </row>
    <row r="135" spans="1:14" ht="15.75" customHeight="1" x14ac:dyDescent="0.25">
      <c r="A135" s="204"/>
      <c r="B135" s="2" t="s">
        <v>170</v>
      </c>
      <c r="C135" s="280" t="str">
        <f>IF(C86="","",C86)</f>
        <v/>
      </c>
      <c r="D135" s="280"/>
      <c r="E135" s="161"/>
      <c r="F135" s="2" t="s">
        <v>172</v>
      </c>
      <c r="G135" s="280" t="str">
        <f>IF(G86="","",G86)</f>
        <v/>
      </c>
      <c r="H135" s="280"/>
      <c r="J135" s="2" t="s">
        <v>167</v>
      </c>
      <c r="K135" s="159" t="str">
        <f>IF(K85="","",K85)</f>
        <v/>
      </c>
      <c r="L135" t="s">
        <v>169</v>
      </c>
      <c r="N135" s="204"/>
    </row>
    <row r="136" spans="1:14" ht="15.75" customHeight="1" x14ac:dyDescent="0.25">
      <c r="A136" s="204"/>
      <c r="B136" s="2" t="s">
        <v>174</v>
      </c>
      <c r="C136" s="280" t="str">
        <f>IF(C87="","",C87)</f>
        <v/>
      </c>
      <c r="D136" s="280"/>
      <c r="E136" s="59"/>
      <c r="F136" s="2" t="s">
        <v>176</v>
      </c>
      <c r="G136" s="163" t="str">
        <f>IF(G87="","",G87)</f>
        <v/>
      </c>
      <c r="H136" t="s">
        <v>177</v>
      </c>
      <c r="N136" s="204"/>
    </row>
    <row r="137" spans="1:14" ht="15.75" customHeight="1" x14ac:dyDescent="0.25">
      <c r="A137" s="204"/>
      <c r="B137" s="2"/>
      <c r="C137" s="15"/>
      <c r="D137" s="15"/>
      <c r="E137" s="59"/>
      <c r="N137" s="204"/>
    </row>
    <row r="138" spans="1:14" ht="15.75" customHeight="1" x14ac:dyDescent="0.25">
      <c r="A138" s="204"/>
      <c r="B138" s="2"/>
      <c r="C138" s="15"/>
      <c r="D138" s="15"/>
      <c r="E138" s="59"/>
      <c r="G138" s="15"/>
      <c r="H138" s="15"/>
      <c r="K138" s="15" t="s">
        <v>178</v>
      </c>
      <c r="L138" s="15" t="s">
        <v>179</v>
      </c>
      <c r="N138" s="204"/>
    </row>
    <row r="139" spans="1:14" ht="15.75" customHeight="1" x14ac:dyDescent="0.35">
      <c r="A139" s="204"/>
      <c r="B139" s="2" t="s">
        <v>185</v>
      </c>
      <c r="C139" s="280" t="str">
        <f>IF(C90="","",C90)</f>
        <v/>
      </c>
      <c r="D139" s="280"/>
      <c r="E139" s="59"/>
      <c r="F139" s="2"/>
      <c r="G139" s="15"/>
      <c r="H139" s="15"/>
      <c r="J139" s="43" t="s">
        <v>181</v>
      </c>
      <c r="K139" s="159" t="str">
        <f>IF(K88="","",K88)</f>
        <v/>
      </c>
      <c r="L139" s="159" t="str">
        <f>IF(K139="","",K139)</f>
        <v/>
      </c>
      <c r="M139" t="s">
        <v>182</v>
      </c>
      <c r="N139" s="204"/>
    </row>
    <row r="140" spans="1:14" ht="15.75" customHeight="1" x14ac:dyDescent="0.35">
      <c r="A140" s="204"/>
      <c r="B140" s="2" t="s">
        <v>187</v>
      </c>
      <c r="C140" s="280" t="str">
        <f>IF(C91="","",C91)</f>
        <v/>
      </c>
      <c r="D140" s="280"/>
      <c r="E140" s="59"/>
      <c r="F140" s="2" t="s">
        <v>188</v>
      </c>
      <c r="G140" s="203" t="str">
        <f>IF(G91="","",G91)</f>
        <v/>
      </c>
      <c r="J140" s="43" t="s">
        <v>184</v>
      </c>
      <c r="K140" s="159" t="str">
        <f>IF(K89="","",K89)</f>
        <v/>
      </c>
      <c r="L140" s="159" t="str">
        <f>IF(K140="","",K140)</f>
        <v/>
      </c>
      <c r="M140" t="s">
        <v>164</v>
      </c>
      <c r="N140" s="204"/>
    </row>
    <row r="141" spans="1:14" ht="15.75" customHeight="1" x14ac:dyDescent="0.25">
      <c r="A141" s="204"/>
      <c r="B141" s="2"/>
      <c r="C141" s="15"/>
      <c r="D141" s="15"/>
      <c r="E141" s="59"/>
      <c r="F141" s="2"/>
      <c r="G141" s="15"/>
      <c r="H141" s="32"/>
      <c r="J141" s="43" t="s">
        <v>186</v>
      </c>
      <c r="K141" s="159" t="str">
        <f>IF(K90="","",K90)</f>
        <v/>
      </c>
      <c r="L141" s="159" t="str">
        <f>IF(K141="","",K141)</f>
        <v/>
      </c>
      <c r="M141" t="s">
        <v>182</v>
      </c>
      <c r="N141" s="204"/>
    </row>
    <row r="142" spans="1:14" ht="15.75" customHeight="1" x14ac:dyDescent="0.25">
      <c r="A142" s="204"/>
      <c r="B142" s="59"/>
      <c r="C142" s="59"/>
      <c r="D142" s="59"/>
      <c r="E142" s="59"/>
      <c r="N142" s="204"/>
    </row>
    <row r="143" spans="1:14" ht="15.75" customHeight="1" thickBot="1" x14ac:dyDescent="0.3">
      <c r="A143" s="204"/>
      <c r="B143" s="245" t="s">
        <v>232</v>
      </c>
      <c r="C143" s="245"/>
      <c r="D143" s="245"/>
      <c r="E143" s="245"/>
      <c r="F143" s="245"/>
      <c r="N143" s="204"/>
    </row>
    <row r="144" spans="1:14" ht="15" customHeight="1" x14ac:dyDescent="0.25">
      <c r="A144" s="204"/>
      <c r="N144" s="204"/>
    </row>
    <row r="145" spans="1:14" ht="15" customHeight="1" x14ac:dyDescent="0.25">
      <c r="A145" s="204"/>
      <c r="N145" s="204"/>
    </row>
    <row r="146" spans="1:14" ht="15" customHeight="1" x14ac:dyDescent="0.25">
      <c r="A146" s="204"/>
      <c r="N146" s="204"/>
    </row>
    <row r="147" spans="1:14" ht="15.75" customHeight="1" thickBot="1" x14ac:dyDescent="0.3">
      <c r="A147" s="204"/>
      <c r="C147" s="51" t="s">
        <v>190</v>
      </c>
      <c r="D147" s="52" t="s">
        <v>191</v>
      </c>
      <c r="E147" s="51" t="s">
        <v>192</v>
      </c>
      <c r="F147" s="52" t="s">
        <v>193</v>
      </c>
      <c r="G147" s="51" t="s">
        <v>194</v>
      </c>
      <c r="H147" s="52" t="s">
        <v>195</v>
      </c>
      <c r="I147" s="15"/>
      <c r="J147" s="69" t="s">
        <v>170</v>
      </c>
      <c r="K147" t="str">
        <f>IF(OR($C$86="",$C$87=""),"",$C$86&amp;" "&amp;$C$87)</f>
        <v/>
      </c>
      <c r="N147" s="204"/>
    </row>
    <row r="148" spans="1:14" ht="18" customHeight="1" thickTop="1" x14ac:dyDescent="0.35">
      <c r="A148" s="204"/>
      <c r="B148" s="2" t="s">
        <v>196</v>
      </c>
      <c r="C148" s="44" t="str">
        <f>IF(E83="","",IFERROR(((E83/D29)*(D25+G49))/D25,""))</f>
        <v/>
      </c>
      <c r="D148" s="25" t="str">
        <f>C148</f>
        <v/>
      </c>
      <c r="E148" s="44" t="str">
        <f>IF(E83="","",IFERROR(((E83/D29)*(D26+G50+G51))/D26,""))</f>
        <v/>
      </c>
      <c r="F148" s="25" t="str">
        <f>E148</f>
        <v/>
      </c>
      <c r="G148" s="44" t="str">
        <f>IF(E83="","",IFERROR(((E83/D29)*(G52+D27))/D27,""))</f>
        <v/>
      </c>
      <c r="H148" s="25" t="str">
        <f>G148</f>
        <v/>
      </c>
      <c r="I148" s="32" t="s">
        <v>197</v>
      </c>
      <c r="J148" s="158" t="s">
        <v>167</v>
      </c>
      <c r="K148" t="str">
        <f>IF($K$85="","",$K$85)</f>
        <v/>
      </c>
      <c r="L148" s="156"/>
      <c r="N148" s="204"/>
    </row>
    <row r="149" spans="1:14" ht="15" customHeight="1" x14ac:dyDescent="0.25">
      <c r="A149" s="204"/>
      <c r="B149" s="2" t="s">
        <v>176</v>
      </c>
      <c r="C149" s="28" t="str">
        <f>IF($G$87="","",$G$87)</f>
        <v/>
      </c>
      <c r="D149" s="22" t="str">
        <f t="shared" ref="D149:H149" si="2">IF($G$87="","",$G$87)</f>
        <v/>
      </c>
      <c r="E149" s="28" t="str">
        <f t="shared" si="2"/>
        <v/>
      </c>
      <c r="F149" s="22" t="str">
        <f t="shared" si="2"/>
        <v/>
      </c>
      <c r="G149" s="28" t="str">
        <f t="shared" si="2"/>
        <v/>
      </c>
      <c r="H149" s="22" t="str">
        <f t="shared" si="2"/>
        <v/>
      </c>
      <c r="I149" s="32" t="s">
        <v>177</v>
      </c>
      <c r="J149" s="46"/>
      <c r="N149" s="204"/>
    </row>
    <row r="150" spans="1:14" ht="15" customHeight="1" x14ac:dyDescent="0.25">
      <c r="A150" s="204"/>
      <c r="B150" s="2" t="s">
        <v>198</v>
      </c>
      <c r="C150" s="29" t="str">
        <f>D28</f>
        <v/>
      </c>
      <c r="D150" s="23" t="str">
        <f>IF(D28="","",D28-F27)</f>
        <v/>
      </c>
      <c r="E150" s="29" t="str">
        <f>D150</f>
        <v/>
      </c>
      <c r="F150" s="23" t="str">
        <f>D150</f>
        <v/>
      </c>
      <c r="G150" s="29" t="str">
        <f>D150</f>
        <v/>
      </c>
      <c r="H150" s="23" t="str">
        <f>C150</f>
        <v/>
      </c>
      <c r="I150" s="32" t="s">
        <v>199</v>
      </c>
      <c r="J150" s="47"/>
      <c r="N150" s="204"/>
    </row>
    <row r="151" spans="1:14" x14ac:dyDescent="0.25">
      <c r="A151" s="204"/>
      <c r="B151" s="2" t="s">
        <v>200</v>
      </c>
      <c r="C151" s="44" t="str">
        <f>IF(C101="","",C101)</f>
        <v/>
      </c>
      <c r="D151" s="25" t="str">
        <f t="shared" ref="D151:H151" si="3">IF(D101="","",D101)</f>
        <v/>
      </c>
      <c r="E151" s="44" t="str">
        <f t="shared" si="3"/>
        <v/>
      </c>
      <c r="F151" s="25" t="str">
        <f t="shared" si="3"/>
        <v/>
      </c>
      <c r="G151" s="44" t="str">
        <f t="shared" si="3"/>
        <v/>
      </c>
      <c r="H151" s="25" t="str">
        <f t="shared" si="3"/>
        <v/>
      </c>
      <c r="J151" s="47"/>
      <c r="N151" s="204"/>
    </row>
    <row r="152" spans="1:14" x14ac:dyDescent="0.25">
      <c r="A152" s="204"/>
      <c r="B152" s="2" t="s">
        <v>201</v>
      </c>
      <c r="C152" s="30" t="str">
        <f t="shared" ref="C152:H152" si="4">IF(C102="","",C102)</f>
        <v/>
      </c>
      <c r="D152" s="21" t="str">
        <f t="shared" si="4"/>
        <v/>
      </c>
      <c r="E152" s="30" t="str">
        <f t="shared" si="4"/>
        <v/>
      </c>
      <c r="F152" s="21" t="str">
        <f t="shared" si="4"/>
        <v/>
      </c>
      <c r="G152" s="198" t="str">
        <f t="shared" si="4"/>
        <v/>
      </c>
      <c r="H152" s="23" t="str">
        <f t="shared" si="4"/>
        <v/>
      </c>
      <c r="J152" s="47"/>
      <c r="N152" s="204"/>
    </row>
    <row r="153" spans="1:14" ht="17.25" x14ac:dyDescent="0.25">
      <c r="A153" s="204"/>
      <c r="B153" s="2" t="s">
        <v>203</v>
      </c>
      <c r="C153" s="30" t="str">
        <f t="shared" ref="C153:H153" si="5">IF(C103="","",C103)</f>
        <v/>
      </c>
      <c r="D153" s="21" t="str">
        <f t="shared" si="5"/>
        <v/>
      </c>
      <c r="E153" s="30" t="str">
        <f t="shared" si="5"/>
        <v/>
      </c>
      <c r="F153" s="21" t="str">
        <f t="shared" si="5"/>
        <v/>
      </c>
      <c r="G153" s="198" t="str">
        <f t="shared" si="5"/>
        <v/>
      </c>
      <c r="H153" s="23" t="str">
        <f t="shared" si="5"/>
        <v/>
      </c>
      <c r="I153" s="32" t="s">
        <v>204</v>
      </c>
      <c r="J153" s="47"/>
      <c r="N153" s="204"/>
    </row>
    <row r="154" spans="1:14" ht="17.25" customHeight="1" x14ac:dyDescent="0.25">
      <c r="A154" s="204"/>
      <c r="B154" s="2" t="s">
        <v>205</v>
      </c>
      <c r="C154" s="30" t="str">
        <f t="shared" ref="C154:H154" si="6">IF(C104="","",C104)</f>
        <v/>
      </c>
      <c r="D154" s="21" t="str">
        <f t="shared" si="6"/>
        <v/>
      </c>
      <c r="E154" s="30" t="str">
        <f t="shared" si="6"/>
        <v/>
      </c>
      <c r="F154" s="21" t="str">
        <f t="shared" si="6"/>
        <v/>
      </c>
      <c r="G154" s="30" t="str">
        <f t="shared" si="6"/>
        <v/>
      </c>
      <c r="H154" s="21" t="str">
        <f t="shared" si="6"/>
        <v/>
      </c>
      <c r="I154" s="32" t="s">
        <v>204</v>
      </c>
      <c r="J154" s="255" t="str">
        <f>IFERROR(IF($C$155="N/A","Special Design Provisions for Wind and Seismic does not provide a Ga for the Sheathing and Nail Type combination entered. Please review inputs or use the Four Term Equation Deflection calculation.",""),"")</f>
        <v/>
      </c>
      <c r="K154" s="256"/>
      <c r="L154" s="256"/>
      <c r="N154" s="204"/>
    </row>
    <row r="155" spans="1:14" ht="15" customHeight="1" x14ac:dyDescent="0.35">
      <c r="A155" s="204"/>
      <c r="B155" s="2" t="s">
        <v>233</v>
      </c>
      <c r="C155" s="75" t="str">
        <f>IF($C$91&lt;&gt;"",$C$91,IF(OR(C86="",C87="",K85="",K88=""),"",IF($C$86="Other Material",0,(VLOOKUP(C86&amp;C87&amp;K85&amp;K88,Table50,3,FALSE)))))</f>
        <v/>
      </c>
      <c r="D155" s="76" t="str">
        <f>C155</f>
        <v/>
      </c>
      <c r="E155" s="75" t="str">
        <f>C155</f>
        <v/>
      </c>
      <c r="F155" s="76" t="str">
        <f>C155</f>
        <v/>
      </c>
      <c r="G155" s="75" t="str">
        <f>C155</f>
        <v/>
      </c>
      <c r="H155" s="76" t="str">
        <f>C155</f>
        <v/>
      </c>
      <c r="I155" s="32" t="s">
        <v>234</v>
      </c>
      <c r="J155" s="256"/>
      <c r="K155" s="256"/>
      <c r="L155" s="256"/>
      <c r="N155" s="204"/>
    </row>
    <row r="156" spans="1:14" ht="15" customHeight="1" x14ac:dyDescent="0.25">
      <c r="A156" s="204"/>
      <c r="B156" s="2" t="s">
        <v>210</v>
      </c>
      <c r="C156" s="29" t="str">
        <f>IF(D25="","",D25)</f>
        <v/>
      </c>
      <c r="D156" s="23" t="str">
        <f>C156</f>
        <v/>
      </c>
      <c r="E156" s="29" t="str">
        <f>IF(D26="","",D26)</f>
        <v/>
      </c>
      <c r="F156" s="23" t="str">
        <f>E156</f>
        <v/>
      </c>
      <c r="G156" s="29" t="str">
        <f>IF(D27="","",D27)</f>
        <v/>
      </c>
      <c r="H156" s="23" t="str">
        <f>G156</f>
        <v/>
      </c>
      <c r="I156" s="32" t="s">
        <v>199</v>
      </c>
      <c r="J156" s="256"/>
      <c r="K156" s="256"/>
      <c r="L156" s="256"/>
      <c r="M156" s="19"/>
      <c r="N156" s="204"/>
    </row>
    <row r="157" spans="1:14" ht="15" customHeight="1" x14ac:dyDescent="0.25">
      <c r="A157" s="204"/>
      <c r="B157" s="2" t="s">
        <v>184</v>
      </c>
      <c r="C157" s="30" t="str">
        <f>IF($K$89="","",$K$89)</f>
        <v/>
      </c>
      <c r="D157" s="21" t="str">
        <f>C157</f>
        <v/>
      </c>
      <c r="E157" s="30" t="str">
        <f>$O$89</f>
        <v/>
      </c>
      <c r="F157" s="21" t="str">
        <f>E157</f>
        <v/>
      </c>
      <c r="G157" s="30" t="str">
        <f>L89</f>
        <v/>
      </c>
      <c r="H157" s="21" t="str">
        <f>G157</f>
        <v/>
      </c>
      <c r="I157" s="32" t="s">
        <v>164</v>
      </c>
      <c r="J157" s="256"/>
      <c r="K157" s="256"/>
      <c r="L157" s="256"/>
      <c r="N157" s="204"/>
    </row>
    <row r="158" spans="1:14" ht="15" customHeight="1" x14ac:dyDescent="0.25">
      <c r="A158" s="204"/>
      <c r="B158" s="2" t="s">
        <v>211</v>
      </c>
      <c r="C158" s="50" t="str">
        <f>IF($K$90="","",$K$90)</f>
        <v/>
      </c>
      <c r="D158" s="27" t="str">
        <f>C158</f>
        <v/>
      </c>
      <c r="E158" s="50" t="str">
        <f>$O$90</f>
        <v/>
      </c>
      <c r="F158" s="27" t="str">
        <f>E158</f>
        <v/>
      </c>
      <c r="G158" s="50" t="str">
        <f>L90</f>
        <v/>
      </c>
      <c r="H158" s="27" t="str">
        <f>G158</f>
        <v/>
      </c>
      <c r="I158" s="32" t="s">
        <v>182</v>
      </c>
      <c r="J158" s="15"/>
      <c r="N158" s="204"/>
    </row>
    <row r="159" spans="1:14" ht="15" customHeight="1" x14ac:dyDescent="0.25">
      <c r="A159" s="204"/>
      <c r="N159" s="204"/>
    </row>
    <row r="160" spans="1:14" ht="15.75" customHeight="1" thickBot="1" x14ac:dyDescent="0.3">
      <c r="A160" s="204"/>
      <c r="C160" s="4" t="s">
        <v>212</v>
      </c>
      <c r="N160" s="204"/>
    </row>
    <row r="161" spans="1:14" ht="15" customHeight="1" x14ac:dyDescent="0.25">
      <c r="A161" s="204"/>
      <c r="C161" s="252" t="s">
        <v>213</v>
      </c>
      <c r="D161" s="253"/>
      <c r="E161" s="254"/>
      <c r="F161" s="252" t="s">
        <v>214</v>
      </c>
      <c r="G161" s="253"/>
      <c r="H161" s="254"/>
      <c r="J161" s="69"/>
      <c r="N161" s="204"/>
    </row>
    <row r="162" spans="1:14" ht="15" customHeight="1" x14ac:dyDescent="0.25">
      <c r="A162" s="204"/>
      <c r="C162" s="18" t="s">
        <v>215</v>
      </c>
      <c r="D162" s="17" t="s">
        <v>216</v>
      </c>
      <c r="E162" s="17" t="s">
        <v>217</v>
      </c>
      <c r="F162" s="18" t="s">
        <v>215</v>
      </c>
      <c r="G162" s="17" t="s">
        <v>216</v>
      </c>
      <c r="H162" s="16" t="s">
        <v>217</v>
      </c>
      <c r="J162" s="158"/>
      <c r="N162" s="204"/>
    </row>
    <row r="163" spans="1:14" ht="15" customHeight="1" x14ac:dyDescent="0.25">
      <c r="A163" s="204"/>
      <c r="C163" s="14" t="s">
        <v>219</v>
      </c>
      <c r="D163" s="13" t="s">
        <v>220</v>
      </c>
      <c r="E163" s="13" t="s">
        <v>221</v>
      </c>
      <c r="F163" s="14" t="s">
        <v>219</v>
      </c>
      <c r="G163" s="13" t="s">
        <v>220</v>
      </c>
      <c r="H163" s="12" t="s">
        <v>221</v>
      </c>
      <c r="N163" s="204"/>
    </row>
    <row r="164" spans="1:14" ht="15.75" customHeight="1" thickBot="1" x14ac:dyDescent="0.3">
      <c r="A164" s="204"/>
      <c r="C164" s="11" t="str">
        <f>IFERROR(8*C148*C150^3/(C149*C154*C156),"")</f>
        <v/>
      </c>
      <c r="D164" s="10" t="str">
        <f>IFERROR(C148*C150/(C155*1000),"")</f>
        <v/>
      </c>
      <c r="E164" s="9" t="str">
        <f>IFERROR(C158*C148*C150/C157*(C150/C156),"")</f>
        <v/>
      </c>
      <c r="F164" s="11" t="str">
        <f>IFERROR(8*D148*D150^3/(D149*D154*D156),"")</f>
        <v/>
      </c>
      <c r="G164" s="10" t="str">
        <f>IFERROR(D148*D150/(D155*1000),"")</f>
        <v/>
      </c>
      <c r="H164" s="9" t="str">
        <f>IFERROR(D158*D148*D150/D157*(D150/D156),"")</f>
        <v/>
      </c>
      <c r="N164" s="204"/>
    </row>
    <row r="165" spans="1:14" ht="15.75" customHeight="1" thickBot="1" x14ac:dyDescent="0.3">
      <c r="A165" s="204"/>
      <c r="C165" s="8"/>
      <c r="D165" s="54" t="s">
        <v>224</v>
      </c>
      <c r="E165" s="5" t="str">
        <f>IF(OR(C164="",D164="",E164=""),"",SUM(C164:E164))</f>
        <v/>
      </c>
      <c r="F165" s="7"/>
      <c r="G165" s="54" t="s">
        <v>224</v>
      </c>
      <c r="H165" s="5" t="str">
        <f>IF(OR(F164="",G164="",H164=""),"",SUM(F164:H164))</f>
        <v/>
      </c>
      <c r="N165" s="204"/>
    </row>
    <row r="166" spans="1:14" ht="15" customHeight="1" x14ac:dyDescent="0.25">
      <c r="A166" s="204"/>
      <c r="C166" s="252" t="s">
        <v>225</v>
      </c>
      <c r="D166" s="253"/>
      <c r="E166" s="254"/>
      <c r="F166" s="252" t="s">
        <v>226</v>
      </c>
      <c r="G166" s="253"/>
      <c r="H166" s="254"/>
      <c r="J166" s="55" t="s">
        <v>227</v>
      </c>
      <c r="N166" s="204"/>
    </row>
    <row r="167" spans="1:14" ht="15" customHeight="1" x14ac:dyDescent="0.25">
      <c r="A167" s="204"/>
      <c r="C167" s="18" t="s">
        <v>215</v>
      </c>
      <c r="D167" s="17" t="s">
        <v>216</v>
      </c>
      <c r="E167" s="17" t="s">
        <v>217</v>
      </c>
      <c r="F167" s="18" t="s">
        <v>215</v>
      </c>
      <c r="G167" s="17" t="s">
        <v>216</v>
      </c>
      <c r="H167" s="16" t="s">
        <v>217</v>
      </c>
      <c r="J167" s="56" t="s">
        <v>228</v>
      </c>
      <c r="N167" s="204"/>
    </row>
    <row r="168" spans="1:14" ht="15" customHeight="1" x14ac:dyDescent="0.25">
      <c r="A168" s="204"/>
      <c r="C168" s="14" t="s">
        <v>219</v>
      </c>
      <c r="D168" s="13" t="s">
        <v>220</v>
      </c>
      <c r="E168" s="13" t="s">
        <v>221</v>
      </c>
      <c r="F168" s="14" t="s">
        <v>219</v>
      </c>
      <c r="G168" s="13" t="s">
        <v>220</v>
      </c>
      <c r="H168" s="12" t="s">
        <v>221</v>
      </c>
      <c r="J168" s="57" t="str">
        <f>IF(H165="","",AVERAGE(E165,H165,E170,H170,E175,H175))</f>
        <v/>
      </c>
      <c r="K168" t="s">
        <v>182</v>
      </c>
      <c r="N168" s="204"/>
    </row>
    <row r="169" spans="1:14" ht="15.75" customHeight="1" thickBot="1" x14ac:dyDescent="0.3">
      <c r="A169" s="204"/>
      <c r="C169" s="11" t="str">
        <f>IFERROR(8*E148*E150^3/(E149*E154*E156),"")</f>
        <v/>
      </c>
      <c r="D169" s="10" t="str">
        <f>IFERROR(E148*E150/(E155*1000),"")</f>
        <v/>
      </c>
      <c r="E169" s="9" t="str">
        <f>IFERROR(E158*E148*E150/E157*(E150/E156),"")</f>
        <v/>
      </c>
      <c r="F169" s="11" t="str">
        <f>IFERROR(8*F148*F150^3/(F149*F154*F156),"")</f>
        <v/>
      </c>
      <c r="G169" s="10" t="str">
        <f>IFERROR(F148*F150/(F155*1000),"")</f>
        <v/>
      </c>
      <c r="H169" s="9" t="str">
        <f>IFERROR(F158*F148*F150/F157*(F150/F156),"")</f>
        <v/>
      </c>
      <c r="J169" s="58" t="str">
        <f>IFERROR(IF(G91="",1,G91)*J168/(C150*12),"")</f>
        <v/>
      </c>
      <c r="K169" t="s">
        <v>231</v>
      </c>
      <c r="L169" s="15"/>
      <c r="N169" s="204"/>
    </row>
    <row r="170" spans="1:14" ht="15.75" customHeight="1" thickBot="1" x14ac:dyDescent="0.3">
      <c r="A170" s="204"/>
      <c r="C170" s="8"/>
      <c r="D170" s="54" t="s">
        <v>224</v>
      </c>
      <c r="E170" s="5" t="str">
        <f>IF(OR(C169="",D169="",E169=""),"",SUM(C169:E169))</f>
        <v/>
      </c>
      <c r="F170" s="7"/>
      <c r="G170" s="54" t="s">
        <v>224</v>
      </c>
      <c r="H170" s="5" t="str">
        <f>IF(OR(F169="",G169="",H169=""),"",SUM(F169:H169))</f>
        <v/>
      </c>
      <c r="L170" s="15"/>
      <c r="N170" s="204"/>
    </row>
    <row r="171" spans="1:14" ht="15" customHeight="1" x14ac:dyDescent="0.25">
      <c r="A171" s="204"/>
      <c r="C171" s="252" t="s">
        <v>229</v>
      </c>
      <c r="D171" s="253"/>
      <c r="E171" s="254"/>
      <c r="F171" s="252" t="s">
        <v>230</v>
      </c>
      <c r="G171" s="253"/>
      <c r="H171" s="254"/>
      <c r="J171" s="47"/>
      <c r="K171" s="82"/>
      <c r="L171" s="82"/>
      <c r="M171" s="82"/>
      <c r="N171" s="204"/>
    </row>
    <row r="172" spans="1:14" ht="15" customHeight="1" x14ac:dyDescent="0.25">
      <c r="A172" s="204"/>
      <c r="C172" s="18" t="s">
        <v>215</v>
      </c>
      <c r="D172" s="17" t="s">
        <v>216</v>
      </c>
      <c r="E172" s="17" t="s">
        <v>217</v>
      </c>
      <c r="F172" s="18" t="s">
        <v>215</v>
      </c>
      <c r="G172" s="17" t="s">
        <v>216</v>
      </c>
      <c r="H172" s="16" t="s">
        <v>217</v>
      </c>
      <c r="K172" s="82"/>
      <c r="L172" s="82"/>
      <c r="M172" s="82"/>
      <c r="N172" s="204"/>
    </row>
    <row r="173" spans="1:14" ht="15" customHeight="1" x14ac:dyDescent="0.25">
      <c r="A173" s="204"/>
      <c r="C173" s="14" t="s">
        <v>219</v>
      </c>
      <c r="D173" s="13" t="s">
        <v>220</v>
      </c>
      <c r="E173" s="13" t="s">
        <v>221</v>
      </c>
      <c r="F173" s="14" t="s">
        <v>219</v>
      </c>
      <c r="G173" s="13" t="s">
        <v>220</v>
      </c>
      <c r="H173" s="12" t="s">
        <v>221</v>
      </c>
      <c r="N173" s="204"/>
    </row>
    <row r="174" spans="1:14" ht="15.75" customHeight="1" thickBot="1" x14ac:dyDescent="0.3">
      <c r="A174" s="204"/>
      <c r="C174" s="11" t="str">
        <f>IFERROR(8*G148*G150^3/(G149*G154*G156),"")</f>
        <v/>
      </c>
      <c r="D174" s="10" t="str">
        <f>IFERROR(G148*G150/(G155*1000),"")</f>
        <v/>
      </c>
      <c r="E174" s="9" t="str">
        <f>IFERROR(G158*G148*G150/G157*(G150/G156),"")</f>
        <v/>
      </c>
      <c r="F174" s="11" t="str">
        <f>IFERROR(8*H148*H150^3/(H149*H154*H156),"")</f>
        <v/>
      </c>
      <c r="G174" s="10" t="str">
        <f>IFERROR(H148*H150/(H155*1000),"")</f>
        <v/>
      </c>
      <c r="H174" s="9" t="str">
        <f>IFERROR(H158*H148*H150/H157*(H150/H156),"")</f>
        <v/>
      </c>
      <c r="N174" s="204"/>
    </row>
    <row r="175" spans="1:14" ht="15.75" customHeight="1" thickBot="1" x14ac:dyDescent="0.3">
      <c r="A175" s="204"/>
      <c r="C175" s="8"/>
      <c r="D175" s="54" t="s">
        <v>224</v>
      </c>
      <c r="E175" s="5" t="str">
        <f>IF(OR(C174="",D174="",E174=""),"",SUM(C174:E174))</f>
        <v/>
      </c>
      <c r="F175" s="7"/>
      <c r="G175" s="54" t="s">
        <v>224</v>
      </c>
      <c r="H175" s="5" t="str">
        <f>IF(OR(F174="",G174="",H174=""),"",SUM(F174:H174))</f>
        <v/>
      </c>
      <c r="N175" s="204"/>
    </row>
    <row r="176" spans="1:14" ht="15" customHeight="1" x14ac:dyDescent="0.25">
      <c r="A176" s="204"/>
      <c r="C176" s="253"/>
      <c r="D176" s="253"/>
      <c r="E176" s="253"/>
      <c r="F176" s="253"/>
      <c r="G176" s="253"/>
      <c r="H176" s="253"/>
      <c r="N176" s="204"/>
    </row>
    <row r="177" spans="1:14" ht="15" customHeight="1" x14ac:dyDescent="0.25">
      <c r="A177" s="204"/>
      <c r="B177" s="238" t="s">
        <v>235</v>
      </c>
      <c r="C177" s="239"/>
      <c r="D177" s="239"/>
      <c r="E177" s="239"/>
      <c r="F177" s="239"/>
      <c r="G177" s="239"/>
      <c r="H177" s="239"/>
      <c r="I177" s="239"/>
      <c r="J177" s="239"/>
      <c r="K177" s="239"/>
      <c r="L177" s="239"/>
      <c r="M177" s="240"/>
      <c r="N177" s="204"/>
    </row>
    <row r="178" spans="1:14" x14ac:dyDescent="0.25">
      <c r="A178" s="98"/>
      <c r="N178" s="98"/>
    </row>
    <row r="179" spans="1:14" ht="15.75" thickBot="1" x14ac:dyDescent="0.3">
      <c r="A179" s="98"/>
      <c r="B179" s="208" t="s">
        <v>76</v>
      </c>
      <c r="C179" s="208"/>
      <c r="D179" s="208"/>
      <c r="E179" s="208"/>
      <c r="F179" s="208"/>
      <c r="G179" s="208"/>
      <c r="H179" s="208"/>
      <c r="I179" s="208"/>
      <c r="J179" s="208"/>
      <c r="K179" s="208"/>
      <c r="L179" s="208"/>
      <c r="M179" s="208"/>
      <c r="N179" s="98"/>
    </row>
    <row r="180" spans="1:14" ht="15" customHeight="1" x14ac:dyDescent="0.25">
      <c r="A180" s="98"/>
      <c r="B180" s="212" t="s">
        <v>254</v>
      </c>
      <c r="C180" s="212"/>
      <c r="D180" s="212"/>
      <c r="E180" s="212"/>
      <c r="F180" s="212"/>
      <c r="G180" s="212"/>
      <c r="H180" s="212"/>
      <c r="I180" s="212"/>
      <c r="J180" s="212"/>
      <c r="K180" s="212"/>
      <c r="L180" s="212"/>
      <c r="M180" s="212"/>
      <c r="N180" s="98"/>
    </row>
    <row r="181" spans="1:14" x14ac:dyDescent="0.25">
      <c r="A181" s="98"/>
      <c r="B181" s="251"/>
      <c r="C181" s="251"/>
      <c r="D181" s="251"/>
      <c r="E181" s="251"/>
      <c r="F181" s="251"/>
      <c r="G181" s="251"/>
      <c r="H181" s="251"/>
      <c r="I181" s="251"/>
      <c r="J181" s="251"/>
      <c r="K181" s="251"/>
      <c r="L181" s="251"/>
      <c r="M181" s="251"/>
      <c r="N181" s="98"/>
    </row>
    <row r="182" spans="1:14" x14ac:dyDescent="0.25">
      <c r="A182" s="98"/>
      <c r="B182" s="251"/>
      <c r="C182" s="251"/>
      <c r="D182" s="251"/>
      <c r="E182" s="251"/>
      <c r="F182" s="251"/>
      <c r="G182" s="251"/>
      <c r="H182" s="251"/>
      <c r="I182" s="251"/>
      <c r="J182" s="251"/>
      <c r="K182" s="251"/>
      <c r="L182" s="251"/>
      <c r="M182" s="251"/>
      <c r="N182" s="98"/>
    </row>
    <row r="183" spans="1:14" x14ac:dyDescent="0.25">
      <c r="A183" s="98"/>
      <c r="B183" s="251"/>
      <c r="C183" s="251"/>
      <c r="D183" s="251"/>
      <c r="E183" s="251"/>
      <c r="F183" s="251"/>
      <c r="G183" s="251"/>
      <c r="H183" s="251"/>
      <c r="I183" s="251"/>
      <c r="J183" s="251"/>
      <c r="K183" s="251"/>
      <c r="L183" s="251"/>
      <c r="M183" s="251"/>
      <c r="N183" s="98"/>
    </row>
    <row r="184" spans="1:14" x14ac:dyDescent="0.25">
      <c r="A184" s="98"/>
      <c r="B184" s="251"/>
      <c r="C184" s="251"/>
      <c r="D184" s="251"/>
      <c r="E184" s="251"/>
      <c r="F184" s="251"/>
      <c r="G184" s="251"/>
      <c r="H184" s="251"/>
      <c r="I184" s="251"/>
      <c r="J184" s="251"/>
      <c r="K184" s="251"/>
      <c r="L184" s="251"/>
      <c r="M184" s="251"/>
      <c r="N184" s="98"/>
    </row>
    <row r="185" spans="1:14" x14ac:dyDescent="0.25">
      <c r="A185" s="98"/>
      <c r="B185" s="251"/>
      <c r="C185" s="251"/>
      <c r="D185" s="251"/>
      <c r="E185" s="251"/>
      <c r="F185" s="251"/>
      <c r="G185" s="251"/>
      <c r="H185" s="251"/>
      <c r="I185" s="251"/>
      <c r="J185" s="251"/>
      <c r="K185" s="251"/>
      <c r="L185" s="251"/>
      <c r="M185" s="251"/>
      <c r="N185" s="98"/>
    </row>
    <row r="186" spans="1:14" x14ac:dyDescent="0.25">
      <c r="A186" s="98"/>
      <c r="B186" s="251"/>
      <c r="C186" s="251"/>
      <c r="D186" s="251"/>
      <c r="E186" s="251"/>
      <c r="F186" s="251"/>
      <c r="G186" s="251"/>
      <c r="H186" s="251"/>
      <c r="I186" s="251"/>
      <c r="J186" s="251"/>
      <c r="K186" s="251"/>
      <c r="L186" s="251"/>
      <c r="M186" s="251"/>
      <c r="N186" s="98"/>
    </row>
    <row r="187" spans="1:14" x14ac:dyDescent="0.25">
      <c r="A187" s="98"/>
      <c r="B187" s="251"/>
      <c r="C187" s="251"/>
      <c r="D187" s="251"/>
      <c r="E187" s="251"/>
      <c r="F187" s="251"/>
      <c r="G187" s="251"/>
      <c r="H187" s="251"/>
      <c r="I187" s="251"/>
      <c r="J187" s="251"/>
      <c r="K187" s="251"/>
      <c r="L187" s="251"/>
      <c r="M187" s="251"/>
      <c r="N187" s="98"/>
    </row>
    <row r="188" spans="1:14" x14ac:dyDescent="0.25">
      <c r="A188" s="98"/>
      <c r="B188" s="251"/>
      <c r="C188" s="251"/>
      <c r="D188" s="251"/>
      <c r="E188" s="251"/>
      <c r="F188" s="251"/>
      <c r="G188" s="251"/>
      <c r="H188" s="251"/>
      <c r="I188" s="251"/>
      <c r="J188" s="251"/>
      <c r="K188" s="251"/>
      <c r="L188" s="251"/>
      <c r="M188" s="251"/>
      <c r="N188" s="98"/>
    </row>
    <row r="189" spans="1:14" x14ac:dyDescent="0.25">
      <c r="A189" s="98"/>
      <c r="B189" s="251"/>
      <c r="C189" s="251"/>
      <c r="D189" s="251"/>
      <c r="E189" s="251"/>
      <c r="F189" s="251"/>
      <c r="G189" s="251"/>
      <c r="H189" s="251"/>
      <c r="I189" s="251"/>
      <c r="J189" s="251"/>
      <c r="K189" s="251"/>
      <c r="L189" s="251"/>
      <c r="M189" s="251"/>
      <c r="N189" s="98"/>
    </row>
    <row r="190" spans="1:14" x14ac:dyDescent="0.25">
      <c r="A190" s="98"/>
      <c r="B190" s="251"/>
      <c r="C190" s="251"/>
      <c r="D190" s="251"/>
      <c r="E190" s="251"/>
      <c r="F190" s="251"/>
      <c r="G190" s="251"/>
      <c r="H190" s="251"/>
      <c r="I190" s="251"/>
      <c r="J190" s="251"/>
      <c r="K190" s="251"/>
      <c r="L190" s="251"/>
      <c r="M190" s="251"/>
      <c r="N190" s="98"/>
    </row>
    <row r="191" spans="1:14" x14ac:dyDescent="0.25">
      <c r="A191" s="98"/>
      <c r="B191" s="251"/>
      <c r="C191" s="251"/>
      <c r="D191" s="251"/>
      <c r="E191" s="251"/>
      <c r="F191" s="251"/>
      <c r="G191" s="251"/>
      <c r="H191" s="251"/>
      <c r="I191" s="251"/>
      <c r="J191" s="251"/>
      <c r="K191" s="251"/>
      <c r="L191" s="251"/>
      <c r="M191" s="251"/>
      <c r="N191" s="98"/>
    </row>
    <row r="192" spans="1:14" x14ac:dyDescent="0.25">
      <c r="A192" s="98"/>
      <c r="B192" s="251"/>
      <c r="C192" s="251"/>
      <c r="D192" s="251"/>
      <c r="E192" s="251"/>
      <c r="F192" s="251"/>
      <c r="G192" s="251"/>
      <c r="H192" s="251"/>
      <c r="I192" s="251"/>
      <c r="J192" s="251"/>
      <c r="K192" s="251"/>
      <c r="L192" s="251"/>
      <c r="M192" s="251"/>
      <c r="N192" s="98"/>
    </row>
    <row r="193" spans="1:14" x14ac:dyDescent="0.25">
      <c r="A193" s="98"/>
      <c r="B193" s="251"/>
      <c r="C193" s="251"/>
      <c r="D193" s="251"/>
      <c r="E193" s="251"/>
      <c r="F193" s="251"/>
      <c r="G193" s="251"/>
      <c r="H193" s="251"/>
      <c r="I193" s="251"/>
      <c r="J193" s="251"/>
      <c r="K193" s="251"/>
      <c r="L193" s="251"/>
      <c r="M193" s="251"/>
      <c r="N193" s="98"/>
    </row>
    <row r="194" spans="1:14" x14ac:dyDescent="0.25">
      <c r="A194" s="98"/>
      <c r="B194" s="251"/>
      <c r="C194" s="251"/>
      <c r="D194" s="251"/>
      <c r="E194" s="251"/>
      <c r="F194" s="251"/>
      <c r="G194" s="251"/>
      <c r="H194" s="251"/>
      <c r="I194" s="251"/>
      <c r="J194" s="251"/>
      <c r="K194" s="251"/>
      <c r="L194" s="251"/>
      <c r="M194" s="251"/>
      <c r="N194" s="98"/>
    </row>
    <row r="195" spans="1:14" x14ac:dyDescent="0.25">
      <c r="A195" s="98"/>
      <c r="B195" s="251"/>
      <c r="C195" s="251"/>
      <c r="D195" s="251"/>
      <c r="E195" s="251"/>
      <c r="F195" s="251"/>
      <c r="G195" s="251"/>
      <c r="H195" s="251"/>
      <c r="I195" s="251"/>
      <c r="J195" s="251"/>
      <c r="K195" s="251"/>
      <c r="L195" s="251"/>
      <c r="M195" s="251"/>
      <c r="N195" s="98"/>
    </row>
    <row r="196" spans="1:14" x14ac:dyDescent="0.25">
      <c r="A196" s="98"/>
      <c r="B196" s="251"/>
      <c r="C196" s="251"/>
      <c r="D196" s="251"/>
      <c r="E196" s="251"/>
      <c r="F196" s="251"/>
      <c r="G196" s="251"/>
      <c r="H196" s="251"/>
      <c r="I196" s="251"/>
      <c r="J196" s="251"/>
      <c r="K196" s="251"/>
      <c r="L196" s="251"/>
      <c r="M196" s="251"/>
      <c r="N196" s="98"/>
    </row>
    <row r="197" spans="1:14" x14ac:dyDescent="0.25">
      <c r="A197" s="98"/>
      <c r="B197" s="251"/>
      <c r="C197" s="251"/>
      <c r="D197" s="251"/>
      <c r="E197" s="251"/>
      <c r="F197" s="251"/>
      <c r="G197" s="251"/>
      <c r="H197" s="251"/>
      <c r="I197" s="251"/>
      <c r="J197" s="251"/>
      <c r="K197" s="251"/>
      <c r="L197" s="251"/>
      <c r="M197" s="251"/>
      <c r="N197" s="98"/>
    </row>
    <row r="198" spans="1:14" x14ac:dyDescent="0.25">
      <c r="A198" s="98"/>
      <c r="B198" s="251"/>
      <c r="C198" s="251"/>
      <c r="D198" s="251"/>
      <c r="E198" s="251"/>
      <c r="F198" s="251"/>
      <c r="G198" s="251"/>
      <c r="H198" s="251"/>
      <c r="I198" s="251"/>
      <c r="J198" s="251"/>
      <c r="K198" s="251"/>
      <c r="L198" s="251"/>
      <c r="M198" s="251"/>
      <c r="N198" s="98"/>
    </row>
    <row r="199" spans="1:14" x14ac:dyDescent="0.25">
      <c r="A199" s="98"/>
      <c r="B199" s="251"/>
      <c r="C199" s="251"/>
      <c r="D199" s="251"/>
      <c r="E199" s="251"/>
      <c r="F199" s="251"/>
      <c r="G199" s="251"/>
      <c r="H199" s="251"/>
      <c r="I199" s="251"/>
      <c r="J199" s="251"/>
      <c r="K199" s="251"/>
      <c r="L199" s="251"/>
      <c r="M199" s="251"/>
      <c r="N199" s="98"/>
    </row>
    <row r="200" spans="1:14" x14ac:dyDescent="0.25">
      <c r="A200" s="98"/>
      <c r="B200" s="251"/>
      <c r="C200" s="251"/>
      <c r="D200" s="251"/>
      <c r="E200" s="251"/>
      <c r="F200" s="251"/>
      <c r="G200" s="251"/>
      <c r="H200" s="251"/>
      <c r="I200" s="251"/>
      <c r="J200" s="251"/>
      <c r="K200" s="251"/>
      <c r="L200" s="251"/>
      <c r="M200" s="251"/>
      <c r="N200" s="98"/>
    </row>
    <row r="201" spans="1:14" x14ac:dyDescent="0.25">
      <c r="A201" s="98"/>
      <c r="B201" s="251"/>
      <c r="C201" s="251"/>
      <c r="D201" s="251"/>
      <c r="E201" s="251"/>
      <c r="F201" s="251"/>
      <c r="G201" s="251"/>
      <c r="H201" s="251"/>
      <c r="I201" s="251"/>
      <c r="J201" s="251"/>
      <c r="K201" s="251"/>
      <c r="L201" s="251"/>
      <c r="M201" s="251"/>
      <c r="N201" s="98"/>
    </row>
    <row r="202" spans="1:14" x14ac:dyDescent="0.25">
      <c r="A202" s="98"/>
      <c r="B202" s="251"/>
      <c r="C202" s="251"/>
      <c r="D202" s="251"/>
      <c r="E202" s="251"/>
      <c r="F202" s="251"/>
      <c r="G202" s="251"/>
      <c r="H202" s="251"/>
      <c r="I202" s="251"/>
      <c r="J202" s="251"/>
      <c r="K202" s="251"/>
      <c r="L202" s="251"/>
      <c r="M202" s="251"/>
      <c r="N202" s="98"/>
    </row>
    <row r="203" spans="1:14" x14ac:dyDescent="0.25">
      <c r="A203" s="98"/>
      <c r="B203" s="251"/>
      <c r="C203" s="251"/>
      <c r="D203" s="251"/>
      <c r="E203" s="251"/>
      <c r="F203" s="251"/>
      <c r="G203" s="251"/>
      <c r="H203" s="251"/>
      <c r="I203" s="251"/>
      <c r="J203" s="251"/>
      <c r="K203" s="251"/>
      <c r="L203" s="251"/>
      <c r="M203" s="251"/>
      <c r="N203" s="98"/>
    </row>
    <row r="204" spans="1:14" x14ac:dyDescent="0.25">
      <c r="A204" s="98"/>
      <c r="B204" s="251"/>
      <c r="C204" s="251"/>
      <c r="D204" s="251"/>
      <c r="E204" s="251"/>
      <c r="F204" s="251"/>
      <c r="G204" s="251"/>
      <c r="H204" s="251"/>
      <c r="I204" s="251"/>
      <c r="J204" s="251"/>
      <c r="K204" s="251"/>
      <c r="L204" s="251"/>
      <c r="M204" s="251"/>
      <c r="N204" s="98"/>
    </row>
    <row r="205" spans="1:14" x14ac:dyDescent="0.25">
      <c r="A205" s="98"/>
      <c r="B205" s="251"/>
      <c r="C205" s="251"/>
      <c r="D205" s="251"/>
      <c r="E205" s="251"/>
      <c r="F205" s="251"/>
      <c r="G205" s="251"/>
      <c r="H205" s="251"/>
      <c r="I205" s="251"/>
      <c r="J205" s="251"/>
      <c r="K205" s="251"/>
      <c r="L205" s="251"/>
      <c r="M205" s="251"/>
      <c r="N205" s="98"/>
    </row>
    <row r="206" spans="1:14" x14ac:dyDescent="0.25">
      <c r="A206" s="98"/>
      <c r="B206" s="251"/>
      <c r="C206" s="251"/>
      <c r="D206" s="251"/>
      <c r="E206" s="251"/>
      <c r="F206" s="251"/>
      <c r="G206" s="251"/>
      <c r="H206" s="251"/>
      <c r="I206" s="251"/>
      <c r="J206" s="251"/>
      <c r="K206" s="251"/>
      <c r="L206" s="251"/>
      <c r="M206" s="251"/>
      <c r="N206" s="98"/>
    </row>
    <row r="207" spans="1:14" x14ac:dyDescent="0.25">
      <c r="A207" s="98"/>
      <c r="B207" s="251"/>
      <c r="C207" s="251"/>
      <c r="D207" s="251"/>
      <c r="E207" s="251"/>
      <c r="F207" s="251"/>
      <c r="G207" s="251"/>
      <c r="H207" s="251"/>
      <c r="I207" s="251"/>
      <c r="J207" s="251"/>
      <c r="K207" s="251"/>
      <c r="L207" s="251"/>
      <c r="M207" s="251"/>
      <c r="N207" s="98"/>
    </row>
    <row r="208" spans="1:14" x14ac:dyDescent="0.25">
      <c r="A208" s="98"/>
      <c r="B208" s="251"/>
      <c r="C208" s="251"/>
      <c r="D208" s="251"/>
      <c r="E208" s="251"/>
      <c r="F208" s="251"/>
      <c r="G208" s="251"/>
      <c r="H208" s="251"/>
      <c r="I208" s="251"/>
      <c r="J208" s="251"/>
      <c r="K208" s="251"/>
      <c r="L208" s="251"/>
      <c r="M208" s="251"/>
      <c r="N208" s="98"/>
    </row>
    <row r="209" spans="1:14" x14ac:dyDescent="0.25">
      <c r="A209" s="98"/>
      <c r="B209" s="251"/>
      <c r="C209" s="251"/>
      <c r="D209" s="251"/>
      <c r="E209" s="251"/>
      <c r="F209" s="251"/>
      <c r="G209" s="251"/>
      <c r="H209" s="251"/>
      <c r="I209" s="251"/>
      <c r="J209" s="251"/>
      <c r="K209" s="251"/>
      <c r="L209" s="251"/>
      <c r="M209" s="251"/>
      <c r="N209" s="98"/>
    </row>
    <row r="210" spans="1:14" x14ac:dyDescent="0.25">
      <c r="A210" s="98"/>
      <c r="B210" s="251"/>
      <c r="C210" s="251"/>
      <c r="D210" s="251"/>
      <c r="E210" s="251"/>
      <c r="F210" s="251"/>
      <c r="G210" s="251"/>
      <c r="H210" s="251"/>
      <c r="I210" s="251"/>
      <c r="J210" s="251"/>
      <c r="K210" s="251"/>
      <c r="L210" s="251"/>
      <c r="M210" s="251"/>
      <c r="N210" s="98"/>
    </row>
    <row r="211" spans="1:14" x14ac:dyDescent="0.25">
      <c r="A211" s="98"/>
      <c r="B211" s="251"/>
      <c r="C211" s="251"/>
      <c r="D211" s="251"/>
      <c r="E211" s="251"/>
      <c r="F211" s="251"/>
      <c r="G211" s="251"/>
      <c r="H211" s="251"/>
      <c r="I211" s="251"/>
      <c r="J211" s="251"/>
      <c r="K211" s="251"/>
      <c r="L211" s="251"/>
      <c r="M211" s="251"/>
      <c r="N211" s="98"/>
    </row>
    <row r="212" spans="1:14" x14ac:dyDescent="0.25">
      <c r="A212" s="98"/>
      <c r="B212" s="251"/>
      <c r="C212" s="251"/>
      <c r="D212" s="251"/>
      <c r="E212" s="251"/>
      <c r="F212" s="251"/>
      <c r="G212" s="251"/>
      <c r="H212" s="251"/>
      <c r="I212" s="251"/>
      <c r="J212" s="251"/>
      <c r="K212" s="251"/>
      <c r="L212" s="251"/>
      <c r="M212" s="251"/>
      <c r="N212" s="98"/>
    </row>
    <row r="213" spans="1:14" x14ac:dyDescent="0.25">
      <c r="A213" s="98"/>
      <c r="B213" s="251"/>
      <c r="C213" s="251"/>
      <c r="D213" s="251"/>
      <c r="E213" s="251"/>
      <c r="F213" s="251"/>
      <c r="G213" s="251"/>
      <c r="H213" s="251"/>
      <c r="I213" s="251"/>
      <c r="J213" s="251"/>
      <c r="K213" s="251"/>
      <c r="L213" s="251"/>
      <c r="M213" s="251"/>
      <c r="N213" s="98"/>
    </row>
    <row r="214" spans="1:14" x14ac:dyDescent="0.25">
      <c r="A214" s="98"/>
      <c r="B214" s="251"/>
      <c r="C214" s="251"/>
      <c r="D214" s="251"/>
      <c r="E214" s="251"/>
      <c r="F214" s="251"/>
      <c r="G214" s="251"/>
      <c r="H214" s="251"/>
      <c r="I214" s="251"/>
      <c r="J214" s="251"/>
      <c r="K214" s="251"/>
      <c r="L214" s="251"/>
      <c r="M214" s="251"/>
      <c r="N214" s="98"/>
    </row>
    <row r="215" spans="1:14" x14ac:dyDescent="0.25">
      <c r="A215" s="98"/>
      <c r="B215" s="251"/>
      <c r="C215" s="251"/>
      <c r="D215" s="251"/>
      <c r="E215" s="251"/>
      <c r="F215" s="251"/>
      <c r="G215" s="251"/>
      <c r="H215" s="251"/>
      <c r="I215" s="251"/>
      <c r="J215" s="251"/>
      <c r="K215" s="251"/>
      <c r="L215" s="251"/>
      <c r="M215" s="251"/>
      <c r="N215" s="98"/>
    </row>
    <row r="216" spans="1:14" x14ac:dyDescent="0.25">
      <c r="A216" s="98"/>
      <c r="B216" s="251"/>
      <c r="C216" s="251"/>
      <c r="D216" s="251"/>
      <c r="E216" s="251"/>
      <c r="F216" s="251"/>
      <c r="G216" s="251"/>
      <c r="H216" s="251"/>
      <c r="I216" s="251"/>
      <c r="J216" s="251"/>
      <c r="K216" s="251"/>
      <c r="L216" s="251"/>
      <c r="M216" s="251"/>
      <c r="N216" s="98"/>
    </row>
    <row r="217" spans="1:14" x14ac:dyDescent="0.25">
      <c r="A217" s="98"/>
      <c r="B217" s="98"/>
      <c r="C217" s="98"/>
      <c r="D217" s="98"/>
      <c r="E217" s="98"/>
      <c r="F217" s="98"/>
      <c r="G217" s="98"/>
      <c r="H217" s="98"/>
      <c r="I217" s="98"/>
      <c r="J217" s="98"/>
      <c r="K217" s="98"/>
      <c r="L217" s="98"/>
      <c r="M217" s="98"/>
      <c r="N217" s="98"/>
    </row>
    <row r="218" spans="1:14" x14ac:dyDescent="0.25">
      <c r="A218" s="98"/>
      <c r="B218" s="98"/>
      <c r="C218" s="98"/>
      <c r="D218" s="98"/>
      <c r="E218" s="98"/>
      <c r="F218" s="98"/>
      <c r="G218" s="98"/>
      <c r="H218" s="98"/>
      <c r="I218" s="98"/>
      <c r="J218" s="98"/>
      <c r="K218" s="98"/>
      <c r="L218" s="98"/>
      <c r="M218" s="98"/>
      <c r="N218" s="98"/>
    </row>
    <row r="219" spans="1:14" x14ac:dyDescent="0.25">
      <c r="A219" s="98"/>
      <c r="B219" s="98"/>
      <c r="C219" s="98"/>
      <c r="D219" s="98"/>
      <c r="E219" s="98"/>
      <c r="F219" s="98"/>
      <c r="G219" s="98"/>
      <c r="H219" s="98"/>
      <c r="I219" s="98"/>
      <c r="J219" s="98"/>
      <c r="K219" s="98"/>
      <c r="L219" s="98"/>
      <c r="M219" s="98"/>
      <c r="N219" s="98"/>
    </row>
    <row r="220" spans="1:14" x14ac:dyDescent="0.25">
      <c r="A220" s="98"/>
      <c r="B220" s="98"/>
      <c r="C220" s="98"/>
      <c r="D220" s="98"/>
      <c r="E220" s="98"/>
      <c r="F220" s="98"/>
      <c r="G220" s="98"/>
      <c r="H220" s="98"/>
      <c r="I220" s="98"/>
      <c r="J220" s="98"/>
      <c r="K220" s="98"/>
      <c r="L220" s="98"/>
      <c r="M220" s="98"/>
      <c r="N220" s="98"/>
    </row>
    <row r="221" spans="1:14" x14ac:dyDescent="0.25">
      <c r="A221" s="98"/>
      <c r="B221" s="98"/>
      <c r="C221" s="98"/>
      <c r="D221" s="98"/>
      <c r="E221" s="98"/>
      <c r="F221" s="98"/>
      <c r="G221" s="98"/>
      <c r="H221" s="98"/>
      <c r="I221" s="98"/>
      <c r="J221" s="98"/>
      <c r="K221" s="98"/>
      <c r="L221" s="98"/>
      <c r="M221" s="98"/>
      <c r="N221" s="98"/>
    </row>
    <row r="222" spans="1:14" x14ac:dyDescent="0.25">
      <c r="A222" s="98"/>
      <c r="B222" s="98"/>
      <c r="C222" s="98"/>
      <c r="D222" s="98"/>
      <c r="E222" s="98"/>
      <c r="F222" s="98"/>
      <c r="G222" s="98"/>
      <c r="H222" s="98"/>
      <c r="I222" s="98"/>
      <c r="J222" s="98"/>
      <c r="K222" s="98"/>
      <c r="L222" s="98"/>
      <c r="M222" s="98"/>
      <c r="N222" s="98"/>
    </row>
    <row r="223" spans="1:14" x14ac:dyDescent="0.25">
      <c r="A223" s="98"/>
      <c r="B223" s="98"/>
      <c r="C223" s="98"/>
      <c r="D223" s="98"/>
      <c r="E223" s="98"/>
      <c r="F223" s="98"/>
      <c r="G223" s="98"/>
      <c r="H223" s="98"/>
      <c r="I223" s="98"/>
      <c r="J223" s="98"/>
      <c r="K223" s="98"/>
      <c r="L223" s="98"/>
      <c r="M223" s="98"/>
      <c r="N223" s="98"/>
    </row>
    <row r="224" spans="1:14" x14ac:dyDescent="0.25">
      <c r="A224" s="98"/>
      <c r="B224" s="98"/>
      <c r="C224" s="98"/>
      <c r="D224" s="98"/>
      <c r="E224" s="98"/>
      <c r="F224" s="98"/>
      <c r="G224" s="98"/>
      <c r="H224" s="98"/>
      <c r="I224" s="98"/>
      <c r="J224" s="98"/>
      <c r="K224" s="98"/>
      <c r="L224" s="98"/>
      <c r="M224" s="98"/>
      <c r="N224" s="98"/>
    </row>
    <row r="225" spans="1:14" x14ac:dyDescent="0.25">
      <c r="A225" s="98"/>
      <c r="B225" s="98"/>
      <c r="C225" s="98"/>
      <c r="D225" s="98"/>
      <c r="E225" s="98"/>
      <c r="F225" s="98"/>
      <c r="G225" s="98"/>
      <c r="H225" s="98"/>
      <c r="I225" s="98"/>
      <c r="J225" s="98"/>
      <c r="K225" s="98"/>
      <c r="L225" s="98"/>
      <c r="M225" s="98"/>
      <c r="N225" s="98"/>
    </row>
    <row r="226" spans="1:14" x14ac:dyDescent="0.25">
      <c r="A226" s="98"/>
      <c r="B226" s="98"/>
      <c r="C226" s="98"/>
      <c r="D226" s="98"/>
      <c r="E226" s="98"/>
      <c r="F226" s="98"/>
      <c r="G226" s="98"/>
      <c r="H226" s="98"/>
      <c r="I226" s="98"/>
      <c r="J226" s="98"/>
      <c r="K226" s="98"/>
      <c r="L226" s="98"/>
      <c r="M226" s="98"/>
      <c r="N226" s="98"/>
    </row>
  </sheetData>
  <sheetProtection algorithmName="SHA-512" hashValue="g+BsgyV91JnDB51QBoKk8M3DRsCq/ZF8jWJ2SHJ3360Icfz6Vu7aXNtloyIeAGpfY6fpZYj4g/KYDC/IfM6bEw==" saltValue="6Xa/oP84s/ly4VNj4ukFlg==" spinCount="100000" sheet="1" objects="1" scenarios="1"/>
  <protectedRanges>
    <protectedRange sqref="C4 L4 C5:M8 D24:D27 F25:F28 H28 B86:B88 G86:G87 H89 K85 K88:K90 L24 C86:D87 C88 B90:B91 F91:G91" name="Range1"/>
    <protectedRange sqref="C102:H103" name="Range1_1"/>
    <protectedRange sqref="C152:F153" name="Range1_2"/>
    <protectedRange sqref="G89" name="Range1_3"/>
  </protectedRanges>
  <mergeCells count="76">
    <mergeCell ref="B180:M216"/>
    <mergeCell ref="B2:L2"/>
    <mergeCell ref="I34:K34"/>
    <mergeCell ref="C5:M5"/>
    <mergeCell ref="L4:M4"/>
    <mergeCell ref="C4:J4"/>
    <mergeCell ref="C37:F37"/>
    <mergeCell ref="G114:J114"/>
    <mergeCell ref="G86:H86"/>
    <mergeCell ref="B82:E82"/>
    <mergeCell ref="B85:C85"/>
    <mergeCell ref="J75:L75"/>
    <mergeCell ref="C6:M6"/>
    <mergeCell ref="B23:M23"/>
    <mergeCell ref="B25:B27"/>
    <mergeCell ref="B30:M30"/>
    <mergeCell ref="A1:A177"/>
    <mergeCell ref="B1:M1"/>
    <mergeCell ref="C119:F119"/>
    <mergeCell ref="G119:J119"/>
    <mergeCell ref="B93:F93"/>
    <mergeCell ref="C114:F114"/>
    <mergeCell ref="I37:K37"/>
    <mergeCell ref="B74:D74"/>
    <mergeCell ref="J74:L74"/>
    <mergeCell ref="B75:D75"/>
    <mergeCell ref="F75:H75"/>
    <mergeCell ref="C176:E176"/>
    <mergeCell ref="C36:F36"/>
    <mergeCell ref="F176:H176"/>
    <mergeCell ref="M26:M28"/>
    <mergeCell ref="B77:D77"/>
    <mergeCell ref="B179:M179"/>
    <mergeCell ref="C8:M8"/>
    <mergeCell ref="N1:N177"/>
    <mergeCell ref="B89:C89"/>
    <mergeCell ref="B177:M177"/>
    <mergeCell ref="F85:H85"/>
    <mergeCell ref="B76:D76"/>
    <mergeCell ref="C35:F35"/>
    <mergeCell ref="I35:K35"/>
    <mergeCell ref="B73:M73"/>
    <mergeCell ref="J25:K25"/>
    <mergeCell ref="E29:M29"/>
    <mergeCell ref="G74:H74"/>
    <mergeCell ref="C7:M7"/>
    <mergeCell ref="C166:E166"/>
    <mergeCell ref="F166:H166"/>
    <mergeCell ref="J24:K24"/>
    <mergeCell ref="L77:M79"/>
    <mergeCell ref="B83:D83"/>
    <mergeCell ref="F79:K79"/>
    <mergeCell ref="B79:E80"/>
    <mergeCell ref="F80:K80"/>
    <mergeCell ref="B32:M32"/>
    <mergeCell ref="B31:M31"/>
    <mergeCell ref="G135:H135"/>
    <mergeCell ref="C171:E171"/>
    <mergeCell ref="F171:H171"/>
    <mergeCell ref="C124:F124"/>
    <mergeCell ref="G124:J124"/>
    <mergeCell ref="B143:F143"/>
    <mergeCell ref="C161:E161"/>
    <mergeCell ref="F161:H161"/>
    <mergeCell ref="J154:L157"/>
    <mergeCell ref="C135:D135"/>
    <mergeCell ref="C136:D136"/>
    <mergeCell ref="C139:D139"/>
    <mergeCell ref="C140:D140"/>
    <mergeCell ref="B131:E131"/>
    <mergeCell ref="B132:D132"/>
    <mergeCell ref="C90:D90"/>
    <mergeCell ref="C91:D91"/>
    <mergeCell ref="C87:D87"/>
    <mergeCell ref="C86:D86"/>
    <mergeCell ref="I36:K36"/>
  </mergeCells>
  <conditionalFormatting sqref="B25:B27">
    <cfRule type="expression" dxfId="14" priority="5">
      <formula>$B$25="Pier length is less than 1.50 ft. Please revise."</formula>
    </cfRule>
  </conditionalFormatting>
  <conditionalFormatting sqref="B30:M30">
    <cfRule type="expression" dxfId="13" priority="4">
      <formula>OR(F28/F25&gt;6.5,F28/F27&gt;6.5,H28/H25&gt;6.5,H28/H27&gt;6.5)</formula>
    </cfRule>
  </conditionalFormatting>
  <conditionalFormatting sqref="B31:M31">
    <cfRule type="expression" dxfId="12" priority="1">
      <formula>OR(G29/G26&gt;6.5,G29/G28&gt;6.5)</formula>
    </cfRule>
  </conditionalFormatting>
  <conditionalFormatting sqref="B32:M32">
    <cfRule type="expression" dxfId="11" priority="2">
      <formula>$B$32="Note to Designer: The height of sheathing above or below the openings is less than 1.0 foot. Exercise caution when assuming fixity at corner regions, as assumed in this calculator."</formula>
    </cfRule>
  </conditionalFormatting>
  <conditionalFormatting sqref="G77 K77">
    <cfRule type="expression" dxfId="10" priority="13">
      <formula>$F$89="**"</formula>
    </cfRule>
  </conditionalFormatting>
  <conditionalFormatting sqref="J154:L157">
    <cfRule type="expression" dxfId="9" priority="9">
      <formula>$C$155="N/A"</formula>
    </cfRule>
  </conditionalFormatting>
  <conditionalFormatting sqref="L77:M79">
    <cfRule type="expression" dxfId="8" priority="8">
      <formula>$C$155="N/A"</formula>
    </cfRule>
  </conditionalFormatting>
  <conditionalFormatting sqref="M26:M28">
    <cfRule type="expression" dxfId="7" priority="3">
      <formula>M26="Aspect Ratio is greater than 3.5. Please revise."</formula>
    </cfRule>
  </conditionalFormatting>
  <dataValidations count="8">
    <dataValidation type="list" allowBlank="1" showInputMessage="1" showErrorMessage="1" sqref="K85" xr:uid="{00000000-0002-0000-0300-000002000000}">
      <formula1>"8d common,10d common"</formula1>
    </dataValidation>
    <dataValidation type="list" allowBlank="1" showInputMessage="1" showErrorMessage="1" sqref="K88" xr:uid="{00000000-0002-0000-0300-000003000000}">
      <formula1>"2,3,4,6"</formula1>
    </dataValidation>
    <dataValidation type="list" allowBlank="1" showInputMessage="1" showErrorMessage="1" sqref="C87" xr:uid="{00000000-0002-0000-0300-000005000000}">
      <formula1>"APA Rated Sheathing,APA Structural 1"</formula1>
    </dataValidation>
    <dataValidation type="list" allowBlank="1" showInputMessage="1" showErrorMessage="1" sqref="L24" xr:uid="{00000000-0002-0000-0300-000006000000}">
      <formula1>"2bs/h,1.25-0.125h/bs,None"</formula1>
    </dataValidation>
    <dataValidation type="textLength" allowBlank="1" showInputMessage="1" showErrorMessage="1" error="To modify this data, use the orange input box above the Four-Term Equation Deflection Check section of the spreadsheet." prompt="To modify this data, use the orange input box above the Four-Term Equation Deflection Check section of the spreadsheet." sqref="E132" xr:uid="{DDE18283-6D3F-4199-AD4B-AB267D3DDCB2}">
      <formula1>10000</formula1>
      <formula2>100000</formula2>
    </dataValidation>
    <dataValidation allowBlank="1" showInputMessage="1" showErrorMessage="1" prompt="To modify this data, use the orange input box above the Four-Term Equation Deflection Check section of the spreadsheet." sqref="C135:D136 G135:H135 G136 G139:H139 K135 K139:K141 G140" xr:uid="{B7B8B901-7F76-4722-AFAC-6DEE5F5E65C1}"/>
    <dataValidation allowBlank="1" showInputMessage="1" showErrorMessage="1" prompt="To modify this data, use the blue input box above the Four-Term Equation Deflection Check section of the spreadsheet." sqref="C139:D140 G141" xr:uid="{AF18A6E9-F532-465A-80C8-3ADD2D4B6920}"/>
    <dataValidation type="whole" operator="greaterThan" allowBlank="1" showInputMessage="1" showErrorMessage="1" sqref="C101:H101" xr:uid="{6A218C77-1923-4839-9FA0-208753BF9BD5}">
      <formula1>0</formula1>
    </dataValidation>
  </dataValidations>
  <printOptions horizontalCentered="1"/>
  <pageMargins left="0.7" right="0.7" top="0.5" bottom="0.4" header="0.3" footer="0.3"/>
  <pageSetup scale="58" fitToHeight="0" orientation="portrait" r:id="rId1"/>
  <headerFooter>
    <oddFooter>&amp;C&amp;G</oddFooter>
    <firstHeader>&amp;C&amp;G</firstHeader>
    <firstFooter>&amp;C&amp;G</firstFooter>
  </headerFooter>
  <rowBreaks count="2" manualBreakCount="2">
    <brk id="80" min="1" max="12" man="1"/>
    <brk id="129" min="1" max="12" man="1"/>
  </rowBreaks>
  <ignoredErrors>
    <ignoredError sqref="E106:G106 E109:G111 F107:F108 E155:H158 D107 H107 E98 G98 G108 E108 G148 E148 E100:G100 E150:H150" formula="1"/>
    <ignoredError sqref="D28" formulaRange="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4000000}">
          <x14:formula1>
            <xm:f>LookUp!$A$2:$A$7</xm:f>
          </x14:formula1>
          <xm:sqref>H89 C102:H102</xm:sqref>
        </x14:dataValidation>
        <x14:dataValidation type="list" allowBlank="1" showInputMessage="1" showErrorMessage="1" xr:uid="{A0ACD435-F84D-4074-ACB5-EA859D77027D}">
          <x14:formula1>
            <xm:f>LookUp!$D$2:$D$8</xm:f>
          </x14:formula1>
          <xm:sqref>C86:D86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Y251"/>
  <sheetViews>
    <sheetView showGridLines="0" zoomScaleNormal="100" zoomScaleSheetLayoutView="90" workbookViewId="0">
      <selection activeCell="M4" sqref="M4:N4"/>
    </sheetView>
  </sheetViews>
  <sheetFormatPr defaultRowHeight="15" x14ac:dyDescent="0.25"/>
  <cols>
    <col min="1" max="1" width="3.140625" customWidth="1"/>
    <col min="2" max="11" width="11.5703125" customWidth="1"/>
    <col min="12" max="12" width="13.5703125" customWidth="1"/>
    <col min="13" max="13" width="14.5703125" customWidth="1"/>
    <col min="14" max="14" width="12.85546875" customWidth="1"/>
    <col min="15" max="15" width="150.5703125" customWidth="1"/>
    <col min="16" max="16" width="16.140625" customWidth="1"/>
    <col min="17" max="17" width="19.140625" customWidth="1"/>
    <col min="18" max="18" width="5" bestFit="1" customWidth="1"/>
    <col min="19" max="19" width="4.5703125" bestFit="1" customWidth="1"/>
  </cols>
  <sheetData>
    <row r="1" spans="1:15" x14ac:dyDescent="0.25">
      <c r="A1" s="204"/>
      <c r="B1" s="204"/>
      <c r="C1" s="204"/>
      <c r="D1" s="204"/>
      <c r="E1" s="204"/>
      <c r="F1" s="204"/>
      <c r="G1" s="204"/>
      <c r="H1" s="204"/>
      <c r="I1" s="204"/>
      <c r="J1" s="204"/>
      <c r="K1" s="204"/>
      <c r="L1" s="204"/>
      <c r="M1" s="204"/>
      <c r="N1" s="204"/>
      <c r="O1" s="204"/>
    </row>
    <row r="2" spans="1:15" ht="111.75" customHeight="1" x14ac:dyDescent="0.25">
      <c r="A2" s="204"/>
      <c r="B2" s="289" t="str">
        <f ca="1">IF(TODAY()&lt;DATE(2026,2,28),"ThreeOpen","Expirethree")</f>
        <v>ThreeOpen</v>
      </c>
      <c r="C2" s="289"/>
      <c r="D2" s="289"/>
      <c r="E2" s="289"/>
      <c r="F2" s="289"/>
      <c r="G2" s="289"/>
      <c r="H2" s="289"/>
      <c r="I2" s="289"/>
      <c r="J2" s="289"/>
      <c r="K2" s="289"/>
      <c r="L2" s="289"/>
      <c r="M2" s="289"/>
      <c r="N2" s="289"/>
      <c r="O2" s="204"/>
    </row>
    <row r="3" spans="1:15" ht="15" customHeight="1" thickBot="1" x14ac:dyDescent="0.3">
      <c r="A3" s="204"/>
      <c r="B3" s="42" t="s">
        <v>78</v>
      </c>
      <c r="C3" s="42"/>
      <c r="D3" s="42"/>
      <c r="E3" s="6"/>
      <c r="F3" s="6"/>
      <c r="G3" s="6"/>
      <c r="H3" s="6"/>
      <c r="I3" s="6"/>
      <c r="J3" s="6"/>
      <c r="K3" s="6"/>
      <c r="L3" s="6"/>
      <c r="M3" s="6"/>
      <c r="N3" s="6"/>
      <c r="O3" s="204"/>
    </row>
    <row r="4" spans="1:15" ht="15" customHeight="1" x14ac:dyDescent="0.25">
      <c r="A4" s="204"/>
      <c r="B4" s="36" t="s">
        <v>79</v>
      </c>
      <c r="C4" s="263"/>
      <c r="D4" s="263"/>
      <c r="E4" s="263"/>
      <c r="F4" s="263"/>
      <c r="G4" s="263"/>
      <c r="H4" s="263"/>
      <c r="I4" s="263"/>
      <c r="J4" s="263"/>
      <c r="K4" s="263"/>
      <c r="L4" s="69" t="s">
        <v>81</v>
      </c>
      <c r="M4" s="290"/>
      <c r="N4" s="230"/>
      <c r="O4" s="204"/>
    </row>
    <row r="5" spans="1:15" ht="15" customHeight="1" x14ac:dyDescent="0.25">
      <c r="A5" s="204"/>
      <c r="B5" s="35" t="s">
        <v>82</v>
      </c>
      <c r="C5" s="230"/>
      <c r="D5" s="230"/>
      <c r="E5" s="230"/>
      <c r="F5" s="230"/>
      <c r="G5" s="230"/>
      <c r="H5" s="230"/>
      <c r="I5" s="230"/>
      <c r="J5" s="230"/>
      <c r="K5" s="230"/>
      <c r="L5" s="230"/>
      <c r="M5" s="230"/>
      <c r="N5" s="230"/>
      <c r="O5" s="204"/>
    </row>
    <row r="6" spans="1:15" ht="15" customHeight="1" x14ac:dyDescent="0.25">
      <c r="A6" s="204"/>
      <c r="B6" s="35" t="s">
        <v>84</v>
      </c>
      <c r="C6" s="262"/>
      <c r="D6" s="262"/>
      <c r="E6" s="262"/>
      <c r="F6" s="262"/>
      <c r="G6" s="262"/>
      <c r="H6" s="262"/>
      <c r="I6" s="262"/>
      <c r="J6" s="262"/>
      <c r="K6" s="262"/>
      <c r="L6" s="262"/>
      <c r="M6" s="262"/>
      <c r="N6" s="262"/>
      <c r="O6" s="204"/>
    </row>
    <row r="7" spans="1:15" ht="15" customHeight="1" x14ac:dyDescent="0.25">
      <c r="A7" s="204"/>
      <c r="B7" s="35" t="s">
        <v>85</v>
      </c>
      <c r="C7" s="298"/>
      <c r="D7" s="298"/>
      <c r="E7" s="298"/>
      <c r="F7" s="298"/>
      <c r="G7" s="298"/>
      <c r="H7" s="298"/>
      <c r="I7" s="298"/>
      <c r="J7" s="298"/>
      <c r="K7" s="298"/>
      <c r="L7" s="298"/>
      <c r="M7" s="298"/>
      <c r="N7" s="96"/>
      <c r="O7" s="204"/>
    </row>
    <row r="8" spans="1:15" ht="15" customHeight="1" x14ac:dyDescent="0.25">
      <c r="A8" s="204"/>
      <c r="B8" s="35" t="s">
        <v>87</v>
      </c>
      <c r="C8" s="298"/>
      <c r="D8" s="298"/>
      <c r="E8" s="298"/>
      <c r="F8" s="298"/>
      <c r="G8" s="298"/>
      <c r="H8" s="298"/>
      <c r="I8" s="298"/>
      <c r="J8" s="298"/>
      <c r="K8" s="298"/>
      <c r="L8" s="298"/>
      <c r="M8" s="298"/>
      <c r="N8" s="298"/>
      <c r="O8" s="204"/>
    </row>
    <row r="9" spans="1:15" ht="15" customHeight="1" x14ac:dyDescent="0.25">
      <c r="A9" s="204"/>
      <c r="B9" s="99"/>
      <c r="C9" s="100"/>
      <c r="D9" s="100"/>
      <c r="E9" s="100"/>
      <c r="F9" s="100"/>
      <c r="G9" s="100"/>
      <c r="H9" s="100"/>
      <c r="I9" s="100"/>
      <c r="J9" s="100"/>
      <c r="K9" s="100"/>
      <c r="L9" s="100"/>
      <c r="M9" s="100"/>
      <c r="N9" s="100"/>
      <c r="O9" s="204"/>
    </row>
    <row r="10" spans="1:15" ht="15" customHeight="1" x14ac:dyDescent="0.25">
      <c r="A10" s="204"/>
      <c r="B10" s="99"/>
      <c r="C10" s="100"/>
      <c r="D10" s="100"/>
      <c r="E10" s="100"/>
      <c r="F10" s="100"/>
      <c r="G10" s="100"/>
      <c r="H10" s="100"/>
      <c r="I10" s="100"/>
      <c r="J10" s="100"/>
      <c r="K10" s="100"/>
      <c r="L10" s="100"/>
      <c r="M10" s="100"/>
      <c r="N10" s="100"/>
      <c r="O10" s="204"/>
    </row>
    <row r="11" spans="1:15" ht="15" customHeight="1" x14ac:dyDescent="0.25">
      <c r="A11" s="204"/>
      <c r="B11" s="99"/>
      <c r="C11" s="100"/>
      <c r="D11" s="100"/>
      <c r="E11" s="100"/>
      <c r="F11" s="100"/>
      <c r="G11" s="100"/>
      <c r="H11" s="100"/>
      <c r="I11" s="100"/>
      <c r="J11" s="100"/>
      <c r="K11" s="100"/>
      <c r="L11" s="100"/>
      <c r="M11" s="100"/>
      <c r="N11" s="100"/>
      <c r="O11" s="204"/>
    </row>
    <row r="12" spans="1:15" ht="15" customHeight="1" x14ac:dyDescent="0.25">
      <c r="A12" s="204"/>
      <c r="B12" s="99"/>
      <c r="C12" s="100"/>
      <c r="D12" s="100"/>
      <c r="E12" s="100"/>
      <c r="F12" s="100"/>
      <c r="G12" s="100"/>
      <c r="H12" s="100"/>
      <c r="I12" s="100"/>
      <c r="J12" s="100"/>
      <c r="K12" s="100"/>
      <c r="L12" s="100"/>
      <c r="M12" s="100"/>
      <c r="N12" s="100"/>
      <c r="O12" s="204"/>
    </row>
    <row r="13" spans="1:15" ht="15" customHeight="1" x14ac:dyDescent="0.25">
      <c r="A13" s="204"/>
      <c r="B13" s="99"/>
      <c r="C13" s="100"/>
      <c r="D13" s="100"/>
      <c r="E13" s="100"/>
      <c r="F13" s="100"/>
      <c r="G13" s="100"/>
      <c r="H13" s="100"/>
      <c r="I13" s="100"/>
      <c r="J13" s="100"/>
      <c r="K13" s="100"/>
      <c r="L13" s="100"/>
      <c r="M13" s="100"/>
      <c r="N13" s="100"/>
      <c r="O13" s="204"/>
    </row>
    <row r="14" spans="1:15" ht="15" customHeight="1" x14ac:dyDescent="0.25">
      <c r="A14" s="204"/>
      <c r="B14" s="99"/>
      <c r="C14" s="100"/>
      <c r="D14" s="100"/>
      <c r="E14" s="100"/>
      <c r="F14" s="100"/>
      <c r="G14" s="100"/>
      <c r="H14" s="100"/>
      <c r="I14" s="100"/>
      <c r="J14" s="100"/>
      <c r="K14" s="100"/>
      <c r="L14" s="100"/>
      <c r="M14" s="100"/>
      <c r="N14" s="100"/>
      <c r="O14" s="204"/>
    </row>
    <row r="15" spans="1:15" ht="15" customHeight="1" x14ac:dyDescent="0.25">
      <c r="A15" s="204"/>
      <c r="B15" s="99"/>
      <c r="C15" s="100"/>
      <c r="D15" s="100"/>
      <c r="E15" s="100"/>
      <c r="F15" s="100"/>
      <c r="G15" s="100"/>
      <c r="H15" s="100"/>
      <c r="I15" s="100"/>
      <c r="J15" s="100"/>
      <c r="K15" s="100"/>
      <c r="L15" s="100"/>
      <c r="M15" s="100"/>
      <c r="N15" s="100"/>
      <c r="O15" s="204"/>
    </row>
    <row r="16" spans="1:15" ht="15" customHeight="1" x14ac:dyDescent="0.25">
      <c r="A16" s="204"/>
      <c r="B16" s="99"/>
      <c r="C16" s="100"/>
      <c r="D16" s="100"/>
      <c r="E16" s="100"/>
      <c r="F16" s="100"/>
      <c r="G16" s="100"/>
      <c r="H16" s="100"/>
      <c r="I16" s="100"/>
      <c r="J16" s="100"/>
      <c r="K16" s="100"/>
      <c r="L16" s="100"/>
      <c r="M16" s="100"/>
      <c r="N16" s="100"/>
      <c r="O16" s="204"/>
    </row>
    <row r="17" spans="1:25" ht="15" customHeight="1" x14ac:dyDescent="0.25">
      <c r="A17" s="204"/>
      <c r="B17" s="99"/>
      <c r="C17" s="100"/>
      <c r="D17" s="100"/>
      <c r="E17" s="100"/>
      <c r="F17" s="100"/>
      <c r="G17" s="100"/>
      <c r="H17" s="100"/>
      <c r="I17" s="100"/>
      <c r="J17" s="100"/>
      <c r="K17" s="100"/>
      <c r="L17" s="100"/>
      <c r="M17" s="100"/>
      <c r="N17" s="100"/>
      <c r="O17" s="204"/>
    </row>
    <row r="18" spans="1:25" ht="15" customHeight="1" x14ac:dyDescent="0.25">
      <c r="A18" s="204"/>
      <c r="B18" s="99"/>
      <c r="C18" s="100"/>
      <c r="D18" s="100"/>
      <c r="E18" s="100"/>
      <c r="F18" s="100"/>
      <c r="G18" s="100"/>
      <c r="H18" s="100"/>
      <c r="I18" s="100"/>
      <c r="J18" s="100"/>
      <c r="K18" s="100"/>
      <c r="L18" s="100"/>
      <c r="M18" s="100"/>
      <c r="N18" s="100"/>
      <c r="O18" s="204"/>
    </row>
    <row r="19" spans="1:25" ht="15" customHeight="1" x14ac:dyDescent="0.25">
      <c r="A19" s="204"/>
      <c r="B19" s="99"/>
      <c r="C19" s="100"/>
      <c r="D19" s="100"/>
      <c r="E19" s="100"/>
      <c r="F19" s="100"/>
      <c r="G19" s="100"/>
      <c r="H19" s="100"/>
      <c r="I19" s="100"/>
      <c r="J19" s="100"/>
      <c r="K19" s="100"/>
      <c r="L19" s="100"/>
      <c r="M19" s="100"/>
      <c r="N19" s="100"/>
      <c r="O19" s="204"/>
    </row>
    <row r="20" spans="1:25" ht="15" customHeight="1" x14ac:dyDescent="0.25">
      <c r="A20" s="204"/>
      <c r="B20" s="99"/>
      <c r="C20" s="100"/>
      <c r="D20" s="100"/>
      <c r="E20" s="100"/>
      <c r="F20" s="100"/>
      <c r="G20" s="100"/>
      <c r="H20" s="100"/>
      <c r="I20" s="100"/>
      <c r="J20" s="100"/>
      <c r="K20" s="100"/>
      <c r="L20" s="100"/>
      <c r="M20" s="100"/>
      <c r="N20" s="100"/>
      <c r="O20" s="204"/>
    </row>
    <row r="21" spans="1:25" ht="15" customHeight="1" x14ac:dyDescent="0.25">
      <c r="A21" s="204"/>
      <c r="B21" s="99"/>
      <c r="C21" s="100"/>
      <c r="D21" s="100"/>
      <c r="E21" s="100"/>
      <c r="F21" s="100"/>
      <c r="G21" s="100"/>
      <c r="H21" s="100"/>
      <c r="I21" s="100"/>
      <c r="J21" s="100"/>
      <c r="K21" s="100"/>
      <c r="L21" s="100"/>
      <c r="M21" s="100"/>
      <c r="N21" s="100"/>
      <c r="O21" s="204"/>
    </row>
    <row r="22" spans="1:25" ht="15" customHeight="1" x14ac:dyDescent="0.25">
      <c r="A22" s="204"/>
      <c r="E22" s="33"/>
      <c r="O22" s="204"/>
    </row>
    <row r="23" spans="1:25" ht="15" customHeight="1" thickBot="1" x14ac:dyDescent="0.3">
      <c r="A23" s="204"/>
      <c r="B23" s="208" t="s">
        <v>88</v>
      </c>
      <c r="C23" s="208"/>
      <c r="D23" s="208"/>
      <c r="E23" s="208"/>
      <c r="F23" s="208"/>
      <c r="G23" s="208"/>
      <c r="H23" s="208"/>
      <c r="I23" s="208"/>
      <c r="J23" s="208"/>
      <c r="K23" s="208"/>
      <c r="L23" s="208"/>
      <c r="M23" s="208"/>
      <c r="N23" s="208"/>
      <c r="O23" s="204"/>
      <c r="T23" s="2"/>
      <c r="U23" s="1"/>
      <c r="X23" s="2"/>
      <c r="Y23" s="1"/>
    </row>
    <row r="24" spans="1:25" ht="15" customHeight="1" thickBot="1" x14ac:dyDescent="0.3">
      <c r="A24" s="204"/>
      <c r="B24" s="2" t="s">
        <v>4</v>
      </c>
      <c r="C24" s="124"/>
      <c r="E24" s="74" t="s">
        <v>89</v>
      </c>
      <c r="G24" s="74" t="s">
        <v>90</v>
      </c>
      <c r="I24" s="74" t="s">
        <v>255</v>
      </c>
      <c r="K24" s="233" t="s">
        <v>91</v>
      </c>
      <c r="L24" s="233"/>
      <c r="M24" s="130" t="s">
        <v>92</v>
      </c>
      <c r="O24" s="204"/>
      <c r="T24" s="2"/>
      <c r="U24" s="60"/>
      <c r="X24" s="2"/>
      <c r="Y24" s="60"/>
    </row>
    <row r="25" spans="1:25" ht="15" customHeight="1" thickTop="1" x14ac:dyDescent="0.35">
      <c r="A25" s="204"/>
      <c r="B25" s="2" t="s">
        <v>93</v>
      </c>
      <c r="C25" s="119"/>
      <c r="D25" s="2" t="s">
        <v>94</v>
      </c>
      <c r="E25" s="120"/>
      <c r="F25" s="2" t="s">
        <v>95</v>
      </c>
      <c r="G25" s="63" t="str">
        <f>IF(E25="","",E25)</f>
        <v/>
      </c>
      <c r="H25" s="2" t="s">
        <v>256</v>
      </c>
      <c r="I25" s="63" t="str">
        <f>IF(E25="","",E25)</f>
        <v/>
      </c>
      <c r="K25" s="234" t="s">
        <v>96</v>
      </c>
      <c r="L25" s="235"/>
      <c r="M25" s="50" t="s">
        <v>97</v>
      </c>
      <c r="O25" s="204"/>
      <c r="T25" s="2"/>
      <c r="U25" s="60"/>
      <c r="X25" s="2"/>
      <c r="Y25" s="60"/>
    </row>
    <row r="26" spans="1:25" ht="15" customHeight="1" x14ac:dyDescent="0.35">
      <c r="A26" s="204"/>
      <c r="B26" s="2" t="s">
        <v>98</v>
      </c>
      <c r="C26" s="120"/>
      <c r="D26" s="2" t="s">
        <v>99</v>
      </c>
      <c r="E26" s="121"/>
      <c r="F26" s="2" t="s">
        <v>100</v>
      </c>
      <c r="G26" s="63" t="str">
        <f t="shared" ref="G26:G27" si="0">IF(E26="","",E26)</f>
        <v/>
      </c>
      <c r="H26" s="2" t="s">
        <v>257</v>
      </c>
      <c r="I26" s="63" t="str">
        <f>IF(E26="","",E26)</f>
        <v/>
      </c>
      <c r="K26" s="2" t="s">
        <v>101</v>
      </c>
      <c r="L26" s="47" t="str">
        <f>IFERROR(E26/C25,"")</f>
        <v/>
      </c>
      <c r="M26" s="129" t="str">
        <f>IF(OR(L26&lt;=2,$M$24="None",$M$24=""),"N/A",IF(AND(L26&lt;=3.504,L26&gt;2),IF($M$24="2bs/h",(2*C25)/E26,1.25-(0.125*L26)),""))</f>
        <v/>
      </c>
      <c r="O26" s="204"/>
      <c r="T26" s="2"/>
      <c r="U26" s="60"/>
      <c r="X26" s="2"/>
      <c r="Y26" s="60"/>
    </row>
    <row r="27" spans="1:25" ht="15" customHeight="1" x14ac:dyDescent="0.35">
      <c r="A27" s="204"/>
      <c r="B27" s="2" t="s">
        <v>102</v>
      </c>
      <c r="C27" s="121"/>
      <c r="D27" s="2" t="s">
        <v>103</v>
      </c>
      <c r="E27" s="121"/>
      <c r="F27" s="2" t="s">
        <v>104</v>
      </c>
      <c r="G27" s="63" t="str">
        <f t="shared" si="0"/>
        <v/>
      </c>
      <c r="H27" s="2" t="s">
        <v>258</v>
      </c>
      <c r="I27" s="63" t="str">
        <f>IF(E27="","",E27)</f>
        <v/>
      </c>
      <c r="K27" s="2" t="s">
        <v>105</v>
      </c>
      <c r="L27" s="47" t="str">
        <f>IFERROR(E26/C26,"")</f>
        <v/>
      </c>
      <c r="M27" s="129" t="str">
        <f>IF(OR(L27&lt;=2,$M$24="None",$M$24=""),"N/A",IF(AND(L27&lt;=3.504,L27&gt;2),IF($M$24="2bs/h",(2*C26)/G26,1.25-(0.125*L27)),""))</f>
        <v/>
      </c>
      <c r="O27" s="204"/>
      <c r="T27" s="2"/>
      <c r="U27" s="60"/>
      <c r="X27" s="2"/>
      <c r="Y27" s="60"/>
    </row>
    <row r="28" spans="1:25" ht="15" customHeight="1" x14ac:dyDescent="0.35">
      <c r="A28" s="204"/>
      <c r="B28" s="2" t="s">
        <v>259</v>
      </c>
      <c r="C28" s="121"/>
      <c r="D28" s="2" t="s">
        <v>107</v>
      </c>
      <c r="E28" s="121"/>
      <c r="F28" s="2" t="s">
        <v>108</v>
      </c>
      <c r="G28" s="121"/>
      <c r="H28" s="2" t="s">
        <v>260</v>
      </c>
      <c r="I28" s="121"/>
      <c r="K28" s="2" t="s">
        <v>109</v>
      </c>
      <c r="L28" s="47" t="str">
        <f>IFERROR(E26/C27,"")</f>
        <v/>
      </c>
      <c r="M28" s="129" t="str">
        <f>IF(OR(L28&lt;=2,$M$24="None",$M$24=""),"N/A",IF(AND(L28&lt;=3.504,L28&gt;2),IF($M$24="2bs/h",(2*C27)/I26,1.25-(0.125*L28)),""))</f>
        <v/>
      </c>
      <c r="O28" s="204"/>
    </row>
    <row r="29" spans="1:25" ht="15" customHeight="1" x14ac:dyDescent="0.35">
      <c r="A29" s="204"/>
      <c r="B29" s="2" t="s">
        <v>106</v>
      </c>
      <c r="C29" s="63" t="str">
        <f>IF(E25="","",SUM(E25:E27))</f>
        <v/>
      </c>
      <c r="K29" s="2" t="s">
        <v>261</v>
      </c>
      <c r="L29" s="47" t="str">
        <f>IFERROR(E26/C28,"")</f>
        <v/>
      </c>
      <c r="M29" s="129" t="str">
        <f>IF(OR(L29&lt;=2,$M$24="None",$M$24=""),"N/A",IF(AND(L29&lt;=3.504,L29&gt;2),IF($M$24="2bs/h",(2*C28)/I26,1.25-(0.125*L29)),""))</f>
        <v/>
      </c>
      <c r="N29" s="15"/>
      <c r="O29" s="204"/>
    </row>
    <row r="30" spans="1:25" ht="15" customHeight="1" x14ac:dyDescent="0.35">
      <c r="A30" s="204"/>
      <c r="B30" s="2" t="s">
        <v>110</v>
      </c>
      <c r="C30" s="63" t="str">
        <f>IF(C25="","",C25+C26+C27+C28+E28+G28+I28)</f>
        <v/>
      </c>
      <c r="K30" s="15"/>
      <c r="L30" s="15"/>
      <c r="M30" s="15"/>
      <c r="N30" s="15"/>
      <c r="O30" s="204"/>
    </row>
    <row r="31" spans="1:25" ht="15" customHeight="1" x14ac:dyDescent="0.25">
      <c r="A31" s="204"/>
      <c r="B31" s="2"/>
      <c r="C31" s="63"/>
      <c r="K31" s="216" t="str">
        <f>IF(MAX(L26:L29)&gt;3.504,"Aspect Ratio is greater than 3.5. Please revise.","")</f>
        <v/>
      </c>
      <c r="L31" s="216"/>
      <c r="M31" s="216"/>
      <c r="N31" s="15"/>
      <c r="O31" s="204"/>
    </row>
    <row r="32" spans="1:25" ht="15" customHeight="1" x14ac:dyDescent="0.25">
      <c r="A32" s="204"/>
      <c r="B32" s="216"/>
      <c r="C32" s="216"/>
      <c r="D32" s="216"/>
      <c r="E32" s="216"/>
      <c r="K32" s="15"/>
      <c r="L32" s="15"/>
      <c r="M32" s="15"/>
      <c r="N32" s="15"/>
      <c r="O32" s="204"/>
    </row>
    <row r="33" spans="1:15" ht="15" customHeight="1" x14ac:dyDescent="0.25">
      <c r="A33" s="204"/>
      <c r="B33" s="2"/>
      <c r="C33" s="63"/>
      <c r="K33" s="15"/>
      <c r="L33" s="15"/>
      <c r="M33" s="15"/>
      <c r="N33" s="15"/>
      <c r="O33" s="204"/>
    </row>
    <row r="34" spans="1:15" ht="15" customHeight="1" x14ac:dyDescent="0.25">
      <c r="A34" s="204"/>
      <c r="B34" s="216" t="str">
        <f>IFERROR(IF(OR(E28/E25&gt;6.5,E28/E27&gt;6.5,G28/G25&gt;6.5,G28/G27&gt;6.5,I28/I25&gt;6.5,I28/I27&gt;6.5),"Note to Designer: The width-to-height ratio of sheathing above or below the openings exceeds 6.5:1. Exercise caution when assuming fixity at corner regions, as assumed in this calculator.",""),"")</f>
        <v/>
      </c>
      <c r="C34" s="216"/>
      <c r="D34" s="216"/>
      <c r="E34" s="216"/>
      <c r="F34" s="216"/>
      <c r="G34" s="216"/>
      <c r="H34" s="216"/>
      <c r="I34" s="216"/>
      <c r="J34" s="216"/>
      <c r="K34" s="216"/>
      <c r="L34" s="216"/>
      <c r="M34" s="216"/>
      <c r="N34" s="216"/>
      <c r="O34" s="204"/>
    </row>
    <row r="35" spans="1:15" ht="15" customHeight="1" x14ac:dyDescent="0.25">
      <c r="A35" s="204"/>
      <c r="B35" s="265" t="str">
        <f>IFERROR(IF(OR(AND((C25&gt;0),(C25&lt;1.5)),AND((C26&gt;0),(C26&lt;1.5)),AND((C27&gt;0),(C27&lt;1.5)),AND((C28&gt;0),(C28&lt;1.5))),"Pier length is less than 1.50 ft. Please revise.",IF(OR(AND((C25&gt;0),(C25&lt;2)),AND((C26&gt;0),(C26&lt;2)),AND((C27&gt;0),(C27&lt;2)),AND((C28&gt;0),(C28&lt;2))),"Note to Designer: 2021 Special Design Provisions for Wind and Seismic (SDPWS) limits wall pier widths to 24 inches, but APA testing successfully utilized blocked pier widths as narrow as 18 inches.","")),"")</f>
        <v/>
      </c>
      <c r="C35" s="265"/>
      <c r="D35" s="265"/>
      <c r="E35" s="265"/>
      <c r="F35" s="265"/>
      <c r="G35" s="265"/>
      <c r="H35" s="265"/>
      <c r="I35" s="265"/>
      <c r="J35" s="265"/>
      <c r="K35" s="265"/>
      <c r="L35" s="265"/>
      <c r="M35" s="265"/>
      <c r="N35" s="265"/>
      <c r="O35" s="204"/>
    </row>
    <row r="36" spans="1:15" ht="15" customHeight="1" x14ac:dyDescent="0.25">
      <c r="A36" s="204"/>
      <c r="B36" s="216" t="str">
        <f>IF(OR(AND((G25&gt;0),(G25&lt;1)),AND((G27&gt;0),(G27&lt;1))),"Note to Designer: The height of sheathing above or below the openings is less than 1.0 foot. Exercise caution when assuming fixity at corner regions, as assumed in this calculator.","")</f>
        <v/>
      </c>
      <c r="C36" s="216"/>
      <c r="D36" s="216"/>
      <c r="E36" s="216"/>
      <c r="F36" s="216"/>
      <c r="G36" s="216"/>
      <c r="H36" s="216"/>
      <c r="I36" s="216"/>
      <c r="J36" s="216"/>
      <c r="K36" s="216"/>
      <c r="L36" s="216"/>
      <c r="M36" s="216"/>
      <c r="N36" s="216"/>
      <c r="O36" s="204"/>
    </row>
    <row r="37" spans="1:15" ht="15" customHeight="1" x14ac:dyDescent="0.25">
      <c r="A37" s="204"/>
      <c r="O37" s="204"/>
    </row>
    <row r="38" spans="1:15" ht="15" customHeight="1" x14ac:dyDescent="0.35">
      <c r="A38" s="204"/>
      <c r="C38" s="4" t="s">
        <v>111</v>
      </c>
      <c r="D38" s="4"/>
      <c r="E38" s="4"/>
      <c r="F38" s="4"/>
      <c r="G38" s="84" t="str">
        <f>IFERROR(C24*C29/C30,"")</f>
        <v/>
      </c>
      <c r="I38" s="32"/>
      <c r="J38" s="67" t="s">
        <v>112</v>
      </c>
      <c r="K38" s="3"/>
      <c r="L38" s="3"/>
      <c r="M38" s="3"/>
      <c r="O38" s="204"/>
    </row>
    <row r="39" spans="1:15" ht="15" customHeight="1" x14ac:dyDescent="0.25">
      <c r="A39" s="204"/>
      <c r="C39" s="36" t="s">
        <v>113</v>
      </c>
      <c r="D39" s="36"/>
      <c r="E39" s="36"/>
      <c r="F39" s="36"/>
      <c r="G39" s="66"/>
      <c r="J39" s="2"/>
      <c r="K39" s="219" t="s">
        <v>114</v>
      </c>
      <c r="L39" s="219"/>
      <c r="M39" s="64" t="str">
        <f>IFERROR(((C24/C30)*(C25+G58))/C25,"")</f>
        <v/>
      </c>
      <c r="O39" s="204"/>
    </row>
    <row r="40" spans="1:15" ht="15" customHeight="1" x14ac:dyDescent="0.35">
      <c r="A40" s="204"/>
      <c r="C40" s="219" t="s">
        <v>115</v>
      </c>
      <c r="D40" s="219"/>
      <c r="E40" s="219"/>
      <c r="F40" s="219"/>
      <c r="G40" s="65" t="str">
        <f>IF(C24=0,"",IF(OR(E25=0,E27=0),"N/A",G38/(E25+E27)))</f>
        <v/>
      </c>
      <c r="J40" s="2"/>
      <c r="K40" s="220" t="s">
        <v>116</v>
      </c>
      <c r="L40" s="220"/>
      <c r="M40" s="64" t="str">
        <f>IFERROR(((C24/C30)*(C26+G59+G60))/C26,"")</f>
        <v/>
      </c>
      <c r="O40" s="204"/>
    </row>
    <row r="41" spans="1:15" ht="15" customHeight="1" x14ac:dyDescent="0.35">
      <c r="A41" s="204"/>
      <c r="C41" s="220" t="s">
        <v>117</v>
      </c>
      <c r="D41" s="220"/>
      <c r="E41" s="220"/>
      <c r="F41" s="220"/>
      <c r="G41" s="65" t="str">
        <f>IF(C24=0,"",IF(OR(E25=0,E27=0),"N/A",G38/(G25+G27)))</f>
        <v/>
      </c>
      <c r="J41" s="2"/>
      <c r="K41" s="220" t="s">
        <v>262</v>
      </c>
      <c r="L41" s="220"/>
      <c r="M41" s="64" t="str">
        <f>IFERROR(((C24/C30)*(G61+C27+G62))/C27,"")</f>
        <v/>
      </c>
      <c r="O41" s="204"/>
    </row>
    <row r="42" spans="1:15" ht="15" customHeight="1" x14ac:dyDescent="0.35">
      <c r="A42" s="204"/>
      <c r="C42" s="220" t="s">
        <v>263</v>
      </c>
      <c r="D42" s="220"/>
      <c r="E42" s="220"/>
      <c r="F42" s="220"/>
      <c r="G42" s="65" t="str">
        <f>IF(C24=0,"",IF(OR(E25=0,E27=0),"N/A",G38/(I25+I27)))</f>
        <v/>
      </c>
      <c r="J42" s="2"/>
      <c r="K42" s="220" t="s">
        <v>264</v>
      </c>
      <c r="L42" s="220"/>
      <c r="M42" s="65" t="str">
        <f>IFERROR(((C24/C30)*(G63+C28))/C28,"")</f>
        <v/>
      </c>
      <c r="O42" s="204"/>
    </row>
    <row r="43" spans="1:15" ht="15" customHeight="1" x14ac:dyDescent="0.25">
      <c r="A43" s="204"/>
      <c r="C43" s="2"/>
      <c r="D43" s="2"/>
      <c r="E43" s="2"/>
      <c r="F43" s="2"/>
      <c r="G43" s="65"/>
      <c r="I43" s="220" t="s">
        <v>265</v>
      </c>
      <c r="J43" s="220"/>
      <c r="K43" s="220"/>
      <c r="L43" s="220"/>
      <c r="M43" s="84" t="str">
        <f>IFERROR(M39*$C$25+M40*$C$26+M41*$C$27+M42*C28,"")</f>
        <v/>
      </c>
      <c r="N43" s="59" t="str">
        <f>IF(C24=0,"",IF(M43=C24,"OK","NO GOOD"))</f>
        <v/>
      </c>
      <c r="O43" s="204"/>
    </row>
    <row r="44" spans="1:15" ht="15" customHeight="1" x14ac:dyDescent="0.25">
      <c r="A44" s="204"/>
      <c r="C44" s="36" t="s">
        <v>120</v>
      </c>
      <c r="D44" s="36"/>
      <c r="E44" s="36"/>
      <c r="F44" s="36"/>
      <c r="G44" s="3"/>
      <c r="O44" s="204"/>
    </row>
    <row r="45" spans="1:15" ht="15" customHeight="1" x14ac:dyDescent="0.25">
      <c r="A45" s="204"/>
      <c r="F45" s="2" t="s">
        <v>121</v>
      </c>
      <c r="G45" s="84" t="str">
        <f>IFERROR(G40*E28,"")</f>
        <v/>
      </c>
      <c r="J45" s="67" t="s">
        <v>122</v>
      </c>
      <c r="K45" s="3"/>
      <c r="L45" s="3"/>
      <c r="M45" s="3"/>
      <c r="O45" s="204"/>
    </row>
    <row r="46" spans="1:15" ht="15" customHeight="1" x14ac:dyDescent="0.25">
      <c r="A46" s="204"/>
      <c r="F46" s="2" t="s">
        <v>123</v>
      </c>
      <c r="G46" s="84" t="str">
        <f>IFERROR(G41*G28,"")</f>
        <v/>
      </c>
      <c r="K46" s="2"/>
      <c r="L46" s="2" t="s">
        <v>124</v>
      </c>
      <c r="M46" s="84" t="str">
        <f>IFERROR(M39*C25,"")</f>
        <v/>
      </c>
      <c r="O46" s="204"/>
    </row>
    <row r="47" spans="1:15" ht="15" customHeight="1" x14ac:dyDescent="0.25">
      <c r="A47" s="204"/>
      <c r="F47" s="2" t="s">
        <v>266</v>
      </c>
      <c r="G47" s="88" t="str">
        <f>IFERROR(G42*I28,"")</f>
        <v/>
      </c>
      <c r="K47" s="2"/>
      <c r="L47" s="2" t="s">
        <v>125</v>
      </c>
      <c r="M47" s="84" t="str">
        <f>IFERROR(M40*C26,"")</f>
        <v/>
      </c>
      <c r="O47" s="204"/>
    </row>
    <row r="48" spans="1:15" ht="15" customHeight="1" x14ac:dyDescent="0.25">
      <c r="A48" s="204"/>
      <c r="H48" s="32"/>
      <c r="K48" s="2"/>
      <c r="L48" s="2" t="s">
        <v>127</v>
      </c>
      <c r="M48" s="84" t="str">
        <f>IFERROR(M41*C27,"")</f>
        <v/>
      </c>
      <c r="O48" s="204"/>
    </row>
    <row r="49" spans="1:21" ht="15" customHeight="1" x14ac:dyDescent="0.25">
      <c r="A49" s="204"/>
      <c r="C49" s="36" t="s">
        <v>126</v>
      </c>
      <c r="D49" s="36"/>
      <c r="E49" s="36"/>
      <c r="F49" s="36"/>
      <c r="G49" s="3"/>
      <c r="H49" s="32"/>
      <c r="K49" s="2"/>
      <c r="L49" s="2" t="s">
        <v>267</v>
      </c>
      <c r="M49" s="88" t="str">
        <f>IFERROR(M42*C28,"")</f>
        <v/>
      </c>
      <c r="O49" s="204"/>
    </row>
    <row r="50" spans="1:21" ht="15" customHeight="1" x14ac:dyDescent="0.25">
      <c r="A50" s="204"/>
      <c r="F50" s="2" t="s">
        <v>128</v>
      </c>
      <c r="G50" s="84" t="str">
        <f>IFERROR((G45*C25)/(C25+C26),"")</f>
        <v/>
      </c>
      <c r="H50" s="32"/>
      <c r="O50" s="204"/>
    </row>
    <row r="51" spans="1:21" ht="15" customHeight="1" x14ac:dyDescent="0.25">
      <c r="A51" s="204"/>
      <c r="F51" s="2" t="s">
        <v>129</v>
      </c>
      <c r="G51" s="84" t="str">
        <f>IFERROR(G45*C26/(C25+C26),"")</f>
        <v/>
      </c>
      <c r="J51" s="67" t="s">
        <v>130</v>
      </c>
      <c r="K51" s="3"/>
      <c r="L51" s="3"/>
      <c r="M51" s="3"/>
      <c r="O51" s="204"/>
    </row>
    <row r="52" spans="1:21" ht="15" customHeight="1" x14ac:dyDescent="0.25">
      <c r="A52" s="204"/>
      <c r="F52" s="2" t="s">
        <v>131</v>
      </c>
      <c r="G52" s="84" t="str">
        <f>IFERROR(G46*C26/(C26+C27),"")</f>
        <v/>
      </c>
      <c r="K52" s="2"/>
      <c r="L52" s="2" t="s">
        <v>132</v>
      </c>
      <c r="M52" s="84" t="str">
        <f>IFERROR(M46-G50,"")</f>
        <v/>
      </c>
      <c r="O52" s="204"/>
    </row>
    <row r="53" spans="1:21" ht="15" customHeight="1" x14ac:dyDescent="0.25">
      <c r="A53" s="204"/>
      <c r="F53" s="2" t="s">
        <v>133</v>
      </c>
      <c r="G53" s="84" t="str">
        <f>IFERROR(G46*C27/(C26+C27),"")</f>
        <v/>
      </c>
      <c r="H53" s="32"/>
      <c r="K53" s="2"/>
      <c r="L53" s="2" t="s">
        <v>134</v>
      </c>
      <c r="M53" s="84" t="str">
        <f>IFERROR(M47-G51-G52,"")</f>
        <v/>
      </c>
      <c r="O53" s="204"/>
    </row>
    <row r="54" spans="1:21" ht="15" customHeight="1" x14ac:dyDescent="0.25">
      <c r="A54" s="204"/>
      <c r="F54" s="2" t="s">
        <v>268</v>
      </c>
      <c r="G54" s="88" t="str">
        <f>IFERROR(G47*C27/(C27+C28),"")</f>
        <v/>
      </c>
      <c r="H54" s="32"/>
      <c r="K54" s="2"/>
      <c r="L54" s="2" t="s">
        <v>269</v>
      </c>
      <c r="M54" s="84" t="str">
        <f>IFERROR(M48-G53-G54,"")</f>
        <v/>
      </c>
      <c r="O54" s="204"/>
    </row>
    <row r="55" spans="1:21" ht="15" customHeight="1" x14ac:dyDescent="0.25">
      <c r="A55" s="204"/>
      <c r="F55" s="2" t="s">
        <v>270</v>
      </c>
      <c r="G55" s="88" t="str">
        <f>IFERROR(G47*C28/(C27+C28),"")</f>
        <v/>
      </c>
      <c r="H55" s="32"/>
      <c r="K55" s="2"/>
      <c r="L55" s="2" t="s">
        <v>271</v>
      </c>
      <c r="M55" s="88" t="str">
        <f>IFERROR(M49-G55,"")</f>
        <v/>
      </c>
      <c r="O55" s="204"/>
      <c r="P55" s="1"/>
      <c r="Q55" s="1"/>
      <c r="R55" s="1"/>
    </row>
    <row r="56" spans="1:21" ht="15" customHeight="1" x14ac:dyDescent="0.25">
      <c r="A56" s="204"/>
      <c r="H56" s="32"/>
      <c r="O56" s="204"/>
      <c r="P56" s="1"/>
      <c r="Q56" s="1"/>
      <c r="R56" s="1"/>
    </row>
    <row r="57" spans="1:21" ht="15" customHeight="1" x14ac:dyDescent="0.25">
      <c r="A57" s="204"/>
      <c r="C57" s="36" t="s">
        <v>136</v>
      </c>
      <c r="D57" s="36"/>
      <c r="E57" s="36"/>
      <c r="F57" s="36"/>
      <c r="G57" s="36"/>
      <c r="J57" s="67" t="s">
        <v>138</v>
      </c>
      <c r="K57" s="3"/>
      <c r="L57" s="3"/>
      <c r="M57" s="3"/>
      <c r="O57" s="204"/>
      <c r="U57" s="2"/>
    </row>
    <row r="58" spans="1:21" ht="15" customHeight="1" x14ac:dyDescent="0.25">
      <c r="A58" s="204"/>
      <c r="D58" s="220" t="s">
        <v>137</v>
      </c>
      <c r="E58" s="220"/>
      <c r="F58" s="220"/>
      <c r="G58" s="63" t="str">
        <f>IFERROR(C25*E28/(C25+C26),"")</f>
        <v/>
      </c>
      <c r="H58" s="32"/>
      <c r="K58" s="2"/>
      <c r="L58" s="2" t="s">
        <v>140</v>
      </c>
      <c r="M58" s="64" t="str">
        <f>IFERROR(M52/C25,"")</f>
        <v/>
      </c>
      <c r="O58" s="204"/>
    </row>
    <row r="59" spans="1:21" ht="15" customHeight="1" x14ac:dyDescent="0.25">
      <c r="A59" s="204"/>
      <c r="D59" s="220" t="s">
        <v>139</v>
      </c>
      <c r="E59" s="220"/>
      <c r="F59" s="220"/>
      <c r="G59" s="63" t="str">
        <f>IFERROR(C26*E28/(C25+C26),"")</f>
        <v/>
      </c>
      <c r="H59" s="32"/>
      <c r="K59" s="2"/>
      <c r="L59" s="2" t="s">
        <v>142</v>
      </c>
      <c r="M59" s="64" t="str">
        <f>IFERROR(M53/C26,"")</f>
        <v/>
      </c>
      <c r="O59" s="204"/>
    </row>
    <row r="60" spans="1:21" ht="15" customHeight="1" x14ac:dyDescent="0.25">
      <c r="A60" s="204"/>
      <c r="D60" s="220" t="s">
        <v>141</v>
      </c>
      <c r="E60" s="220"/>
      <c r="F60" s="220"/>
      <c r="G60" s="63" t="str">
        <f>IFERROR(C26*G28/(C26+C27),"")</f>
        <v/>
      </c>
      <c r="K60" s="2"/>
      <c r="L60" s="2" t="s">
        <v>272</v>
      </c>
      <c r="M60" s="64" t="str">
        <f>IFERROR(M54/C27,"")</f>
        <v/>
      </c>
      <c r="O60" s="204"/>
    </row>
    <row r="61" spans="1:21" ht="15" customHeight="1" x14ac:dyDescent="0.25">
      <c r="A61" s="204"/>
      <c r="D61" s="220" t="s">
        <v>143</v>
      </c>
      <c r="E61" s="220"/>
      <c r="F61" s="220"/>
      <c r="G61" s="63" t="str">
        <f>IFERROR(C27*G28/(C26+C27),"")</f>
        <v/>
      </c>
      <c r="K61" s="2"/>
      <c r="L61" s="2" t="s">
        <v>273</v>
      </c>
      <c r="M61" s="65" t="str">
        <f>IFERROR(M55/C28,"")</f>
        <v/>
      </c>
      <c r="O61" s="204"/>
    </row>
    <row r="62" spans="1:21" ht="15" customHeight="1" x14ac:dyDescent="0.25">
      <c r="A62" s="204"/>
      <c r="D62" s="220" t="s">
        <v>274</v>
      </c>
      <c r="E62" s="220"/>
      <c r="F62" s="220"/>
      <c r="G62" s="63" t="str">
        <f>IFERROR(C27*I28/(C27+C28),"")</f>
        <v/>
      </c>
      <c r="H62" s="32"/>
      <c r="O62" s="204"/>
    </row>
    <row r="63" spans="1:21" ht="15" customHeight="1" x14ac:dyDescent="0.25">
      <c r="A63" s="204"/>
      <c r="E63" s="220" t="s">
        <v>275</v>
      </c>
      <c r="F63" s="220"/>
      <c r="G63" s="63" t="str">
        <f>IFERROR((C28*I28)/(C27+C28),"")</f>
        <v/>
      </c>
      <c r="O63" s="204"/>
    </row>
    <row r="64" spans="1:21" ht="15" customHeight="1" x14ac:dyDescent="0.25">
      <c r="A64" s="204"/>
      <c r="E64" s="2"/>
      <c r="F64" s="2"/>
      <c r="G64" s="63"/>
      <c r="O64" s="204"/>
    </row>
    <row r="65" spans="1:22" x14ac:dyDescent="0.25">
      <c r="A65" s="204"/>
      <c r="F65" s="2"/>
      <c r="G65" s="63"/>
      <c r="O65" s="204"/>
    </row>
    <row r="66" spans="1:22" x14ac:dyDescent="0.25">
      <c r="A66" s="204"/>
      <c r="O66" s="204"/>
    </row>
    <row r="67" spans="1:22" x14ac:dyDescent="0.25">
      <c r="A67" s="204"/>
      <c r="O67" s="204"/>
      <c r="V67" s="1"/>
    </row>
    <row r="68" spans="1:22" x14ac:dyDescent="0.25">
      <c r="A68" s="204"/>
      <c r="O68" s="204"/>
      <c r="V68" s="1"/>
    </row>
    <row r="69" spans="1:22" x14ac:dyDescent="0.25">
      <c r="A69" s="204"/>
      <c r="O69" s="204"/>
      <c r="V69" s="1"/>
    </row>
    <row r="70" spans="1:22" x14ac:dyDescent="0.25">
      <c r="A70" s="204"/>
      <c r="K70" s="2"/>
      <c r="O70" s="204"/>
      <c r="V70" s="1"/>
    </row>
    <row r="71" spans="1:22" x14ac:dyDescent="0.25">
      <c r="A71" s="204"/>
      <c r="O71" s="204"/>
    </row>
    <row r="72" spans="1:22" x14ac:dyDescent="0.25">
      <c r="A72" s="204"/>
      <c r="O72" s="204"/>
      <c r="V72" s="1"/>
    </row>
    <row r="73" spans="1:22" x14ac:dyDescent="0.25">
      <c r="A73" s="204"/>
      <c r="O73" s="204"/>
      <c r="V73" s="1"/>
    </row>
    <row r="74" spans="1:22" x14ac:dyDescent="0.25">
      <c r="A74" s="204"/>
      <c r="O74" s="204"/>
    </row>
    <row r="75" spans="1:22" x14ac:dyDescent="0.25">
      <c r="A75" s="204"/>
      <c r="O75" s="204"/>
    </row>
    <row r="76" spans="1:22" x14ac:dyDescent="0.25">
      <c r="A76" s="204"/>
      <c r="O76" s="204"/>
    </row>
    <row r="77" spans="1:22" x14ac:dyDescent="0.25">
      <c r="A77" s="204"/>
      <c r="O77" s="204"/>
    </row>
    <row r="78" spans="1:22" ht="15.75" thickBot="1" x14ac:dyDescent="0.3">
      <c r="A78" s="204"/>
      <c r="C78" s="59" t="s">
        <v>276</v>
      </c>
      <c r="D78" s="59"/>
      <c r="E78" s="59"/>
      <c r="F78" s="59"/>
      <c r="G78" s="59"/>
      <c r="H78" s="59"/>
      <c r="I78" s="59"/>
      <c r="J78" s="59"/>
      <c r="O78" s="204"/>
    </row>
    <row r="79" spans="1:22" ht="18" x14ac:dyDescent="0.35">
      <c r="A79" s="204"/>
      <c r="C79" s="37" t="s">
        <v>146</v>
      </c>
      <c r="D79" s="38"/>
      <c r="E79" s="38"/>
      <c r="F79" s="38"/>
      <c r="G79" s="38"/>
      <c r="H79" s="38"/>
      <c r="I79" s="38"/>
      <c r="J79" s="38"/>
      <c r="K79" s="40" t="str">
        <f>IFERROR($M$58*($E$25+$E$27),"")</f>
        <v/>
      </c>
      <c r="L79" s="40" t="str">
        <f>IFERROR($M$39*($E$26),"")</f>
        <v/>
      </c>
      <c r="M79" s="85" t="str">
        <f>IFERROR(L79+K79,"")</f>
        <v/>
      </c>
      <c r="O79" s="204"/>
    </row>
    <row r="80" spans="1:22" ht="18" x14ac:dyDescent="0.35">
      <c r="A80" s="204"/>
      <c r="C80" s="39" t="s">
        <v>147</v>
      </c>
      <c r="G80" s="19"/>
      <c r="H80" s="19"/>
      <c r="I80" s="19"/>
      <c r="J80" s="19" t="str">
        <f>IFERROR($G$40*($E$25+$E$27),"")</f>
        <v/>
      </c>
      <c r="K80" s="19" t="str">
        <f>IFERROR($M$58*($E$25+$E$27),"")</f>
        <v/>
      </c>
      <c r="L80" s="19" t="str">
        <f>IFERROR($M$39*$E$26,"")</f>
        <v/>
      </c>
      <c r="M80" s="68" t="str">
        <f>IFERROR(J80-K80-L80,"")</f>
        <v/>
      </c>
      <c r="O80" s="204"/>
    </row>
    <row r="81" spans="1:15" ht="18" x14ac:dyDescent="0.35">
      <c r="A81" s="204"/>
      <c r="C81" s="39" t="s">
        <v>148</v>
      </c>
      <c r="G81" s="19"/>
      <c r="H81" s="19"/>
      <c r="I81" s="19"/>
      <c r="J81" s="19" t="str">
        <f>IFERROR($M$59*($E$27+$E$25),"")</f>
        <v/>
      </c>
      <c r="K81" s="19" t="str">
        <f>IFERROR($M$40*($E$26),"")</f>
        <v/>
      </c>
      <c r="L81" s="19" t="str">
        <f>IFERROR($G$40*($E$25+$E$27),"")</f>
        <v/>
      </c>
      <c r="M81" s="68" t="str">
        <f>IFERROR(J81+K81-L81,"")</f>
        <v/>
      </c>
      <c r="O81" s="204"/>
    </row>
    <row r="82" spans="1:15" ht="18" x14ac:dyDescent="0.35">
      <c r="A82" s="204"/>
      <c r="C82" s="39" t="s">
        <v>149</v>
      </c>
      <c r="J82" s="19" t="str">
        <f>IFERROR($G$41*($G$25+$G$27),"")</f>
        <v/>
      </c>
      <c r="K82" s="19" t="str">
        <f>IFERROR($M$40*($G$26),"")</f>
        <v/>
      </c>
      <c r="L82" s="19" t="str">
        <f>IFERROR($M$59*($G$25+$G$27),"")</f>
        <v/>
      </c>
      <c r="M82" s="68" t="str">
        <f>IFERROR(J82-K82-L82,"")</f>
        <v/>
      </c>
      <c r="O82" s="204"/>
    </row>
    <row r="83" spans="1:15" ht="18" x14ac:dyDescent="0.35">
      <c r="A83" s="204"/>
      <c r="C83" s="39" t="s">
        <v>150</v>
      </c>
      <c r="G83" s="19"/>
      <c r="H83" s="19"/>
      <c r="I83" s="19"/>
      <c r="J83" s="19" t="str">
        <f>IFERROR($G$41*($G$25+$G$27),"")</f>
        <v/>
      </c>
      <c r="K83" s="19" t="str">
        <f>IFERROR($M$60*($G$25+$G$27),"")</f>
        <v/>
      </c>
      <c r="L83" s="19" t="str">
        <f>IFERROR($M$41*($G$26),"")</f>
        <v/>
      </c>
      <c r="M83" s="68" t="str">
        <f>IFERROR(J83-K83-L83,"")</f>
        <v/>
      </c>
      <c r="O83" s="204"/>
    </row>
    <row r="84" spans="1:15" ht="18" x14ac:dyDescent="0.35">
      <c r="A84" s="204"/>
      <c r="C84" s="39" t="s">
        <v>277</v>
      </c>
      <c r="G84" s="19"/>
      <c r="H84" s="19"/>
      <c r="I84" s="19"/>
      <c r="J84" s="19" t="str">
        <f>IFERROR($G$42*($I$25+$I$27),"")</f>
        <v/>
      </c>
      <c r="K84" s="19" t="str">
        <f>IFERROR($M$41*($I$26),"")</f>
        <v/>
      </c>
      <c r="L84" s="19" t="str">
        <f>IFERROR($M$60*($I$25+$I$27),"")</f>
        <v/>
      </c>
      <c r="M84" s="68" t="str">
        <f>IFERROR(J84-K84-L84,"")</f>
        <v/>
      </c>
      <c r="O84" s="204"/>
    </row>
    <row r="85" spans="1:15" ht="18" x14ac:dyDescent="0.35">
      <c r="A85" s="204"/>
      <c r="C85" s="39" t="s">
        <v>278</v>
      </c>
      <c r="G85" s="19"/>
      <c r="H85" s="19"/>
      <c r="I85" s="19"/>
      <c r="J85" s="19" t="str">
        <f>IFERROR($G$42*($I$25+$I$27),"")</f>
        <v/>
      </c>
      <c r="K85" s="19" t="str">
        <f>IFERROR($M$61*($I$25+$I$27),"")</f>
        <v/>
      </c>
      <c r="L85" s="19" t="str">
        <f>IFERROR($M$42*$I$26,"")</f>
        <v/>
      </c>
      <c r="M85" s="68" t="str">
        <f>IFERROR(J85-K85-L85,"")</f>
        <v/>
      </c>
      <c r="O85" s="204"/>
    </row>
    <row r="86" spans="1:15" ht="18.75" thickBot="1" x14ac:dyDescent="0.4">
      <c r="A86" s="204"/>
      <c r="C86" s="7" t="s">
        <v>279</v>
      </c>
      <c r="D86" s="6"/>
      <c r="E86" s="6"/>
      <c r="F86" s="6"/>
      <c r="G86" s="6"/>
      <c r="H86" s="6"/>
      <c r="I86" s="6"/>
      <c r="J86" s="6"/>
      <c r="K86" s="41" t="str">
        <f>IFERROR($M$61*($I$25+$I$27),"")</f>
        <v/>
      </c>
      <c r="L86" s="41" t="str">
        <f>IFERROR($M$42*$I$26,"")</f>
        <v/>
      </c>
      <c r="M86" s="86" t="str">
        <f>IFERROR(L86+K86,"")</f>
        <v/>
      </c>
      <c r="O86" s="204"/>
    </row>
    <row r="87" spans="1:15" x14ac:dyDescent="0.25">
      <c r="A87" s="204"/>
      <c r="K87" s="19"/>
      <c r="L87" s="19"/>
      <c r="M87" s="73"/>
      <c r="O87" s="204"/>
    </row>
    <row r="88" spans="1:15" ht="21.75" thickBot="1" x14ac:dyDescent="0.4">
      <c r="A88" s="204"/>
      <c r="B88" s="221" t="s">
        <v>152</v>
      </c>
      <c r="C88" s="221"/>
      <c r="D88" s="221"/>
      <c r="E88" s="221"/>
      <c r="F88" s="221"/>
      <c r="G88" s="221"/>
      <c r="H88" s="221"/>
      <c r="I88" s="221"/>
      <c r="J88" s="221"/>
      <c r="K88" s="221"/>
      <c r="L88" s="221"/>
      <c r="M88" s="221"/>
      <c r="N88" s="221"/>
      <c r="O88" s="204"/>
    </row>
    <row r="89" spans="1:15" x14ac:dyDescent="0.25">
      <c r="A89" s="204"/>
      <c r="B89" s="222" t="s">
        <v>250</v>
      </c>
      <c r="C89" s="222"/>
      <c r="D89" s="222"/>
      <c r="E89" s="105" t="str">
        <f>IFERROR(IF(G40="N/A","N/A",MAX(IF(M26="N/A",M39,M39*(1/M26)),IF(M27="N/A",M40,M40*(1/M27)),IF(M28="N/A",M41,M41*(1/M28)),IF(M29="N/A",M42,M42*(1/M29)),G40:G42,ABS(M58),ABS(M59),ABS(M60),ABS(M61))),"")</f>
        <v/>
      </c>
      <c r="F89" s="4" t="str">
        <f>IF(B94&lt;&gt;"","**","")</f>
        <v/>
      </c>
      <c r="G89" s="287" t="s">
        <v>154</v>
      </c>
      <c r="H89" s="293"/>
      <c r="I89" s="92" t="str">
        <f>IFERROR(L139,"")</f>
        <v/>
      </c>
      <c r="J89" s="232" t="s">
        <v>155</v>
      </c>
      <c r="K89" s="222"/>
      <c r="L89" s="223"/>
      <c r="M89" s="93" t="str">
        <f>IFERROR(J190,"")</f>
        <v/>
      </c>
      <c r="O89" s="204"/>
    </row>
    <row r="90" spans="1:15" ht="15.75" thickBot="1" x14ac:dyDescent="0.3">
      <c r="A90" s="204"/>
      <c r="B90" s="222" t="s">
        <v>156</v>
      </c>
      <c r="C90" s="222"/>
      <c r="D90" s="222"/>
      <c r="E90" s="87" t="str">
        <f>IF(G50="","",MAX(G50:G55))</f>
        <v/>
      </c>
      <c r="F90" s="4"/>
      <c r="G90" s="222" t="s">
        <v>157</v>
      </c>
      <c r="H90" s="223"/>
      <c r="I90" s="71" t="str">
        <f>IFERROR(L140,"")</f>
        <v/>
      </c>
      <c r="J90" s="222" t="s">
        <v>158</v>
      </c>
      <c r="K90" s="222"/>
      <c r="L90" s="223"/>
      <c r="M90" s="71" t="str">
        <f>IFERROR(IF(OR(I28=0,C28=0),'Two Openings'!J169,'Three Openings'!J191),"")</f>
        <v/>
      </c>
      <c r="O90" s="204"/>
    </row>
    <row r="91" spans="1:15" x14ac:dyDescent="0.25">
      <c r="A91" s="204"/>
      <c r="B91" s="222" t="s">
        <v>251</v>
      </c>
      <c r="C91" s="222"/>
      <c r="D91" s="222"/>
      <c r="E91" s="127" t="str">
        <f>G38</f>
        <v/>
      </c>
      <c r="I91" s="80"/>
      <c r="K91" s="70"/>
      <c r="L91" s="70"/>
      <c r="M91" s="80"/>
      <c r="O91" s="204"/>
    </row>
    <row r="92" spans="1:15" ht="18.75" thickBot="1" x14ac:dyDescent="0.4">
      <c r="A92" s="204"/>
      <c r="B92" s="222" t="s">
        <v>252</v>
      </c>
      <c r="C92" s="222"/>
      <c r="D92" s="222"/>
      <c r="E92" s="128" t="str">
        <f>IFERROR(C24/C30,"")</f>
        <v/>
      </c>
      <c r="G92" s="59"/>
      <c r="H92" s="59"/>
      <c r="I92" s="59"/>
      <c r="J92" s="59"/>
      <c r="K92" s="59"/>
      <c r="L92" s="273" t="str">
        <f>IFERROR(IF($C$174="N/A","Special Design Provisions for Wind and Seismic does not provide a Ga for the Sheathing and Nail Type combination entered. Please review inputs or use the Four Term Equation Deflection calculation.",""),"")</f>
        <v/>
      </c>
      <c r="M92" s="274"/>
      <c r="O92" s="204"/>
    </row>
    <row r="93" spans="1:15" x14ac:dyDescent="0.25">
      <c r="A93" s="204"/>
      <c r="B93" s="20"/>
      <c r="G93" s="59"/>
      <c r="H93" s="59"/>
      <c r="J93" s="59"/>
      <c r="K93" s="59"/>
      <c r="L93" s="274"/>
      <c r="M93" s="274"/>
      <c r="N93" s="59"/>
      <c r="O93" s="204"/>
    </row>
    <row r="94" spans="1:15" x14ac:dyDescent="0.25">
      <c r="A94" s="204"/>
      <c r="B94" s="272" t="str">
        <f>IF(OR(E89="",E89="N/A"),"",IF(E89&gt;MAX(G40:G42,M39:M42,ABS(M58),ABS(M59),ABS(M60),ABS(M61)),"**Req. Sheathing Capacity has been adjusted per the Aspect Ratio Adjustment Factor",""))</f>
        <v/>
      </c>
      <c r="C94" s="264"/>
      <c r="D94" s="264"/>
      <c r="E94" s="264"/>
      <c r="G94" s="59"/>
      <c r="H94" s="59"/>
      <c r="I94" s="59"/>
      <c r="J94" s="59"/>
      <c r="K94" s="59"/>
      <c r="L94" s="274"/>
      <c r="M94" s="274"/>
      <c r="N94" s="59"/>
      <c r="O94" s="204"/>
    </row>
    <row r="95" spans="1:15" x14ac:dyDescent="0.25">
      <c r="A95" s="204"/>
      <c r="B95" s="264"/>
      <c r="C95" s="264"/>
      <c r="D95" s="264"/>
      <c r="E95" s="264"/>
      <c r="F95" s="283" t="s">
        <v>161</v>
      </c>
      <c r="G95" s="216"/>
      <c r="H95" s="216"/>
      <c r="I95" s="216"/>
      <c r="J95" s="216"/>
      <c r="K95" s="216"/>
      <c r="L95" s="213"/>
      <c r="M95" s="213"/>
      <c r="N95" s="59"/>
      <c r="O95" s="204"/>
    </row>
    <row r="96" spans="1:15" x14ac:dyDescent="0.25">
      <c r="A96" s="204"/>
      <c r="B96" s="20"/>
      <c r="O96" s="204"/>
    </row>
    <row r="97" spans="1:17" ht="15.75" thickBot="1" x14ac:dyDescent="0.3">
      <c r="A97" s="204"/>
      <c r="B97" s="245" t="s">
        <v>162</v>
      </c>
      <c r="C97" s="245"/>
      <c r="D97" s="225"/>
      <c r="E97" s="225"/>
      <c r="F97" s="6"/>
      <c r="G97" s="6"/>
      <c r="H97" s="6"/>
      <c r="I97" s="6"/>
      <c r="J97" s="6"/>
      <c r="K97" s="6"/>
      <c r="L97" s="6"/>
      <c r="M97" s="6"/>
      <c r="N97" s="6"/>
      <c r="O97" s="204"/>
    </row>
    <row r="98" spans="1:17" ht="18" x14ac:dyDescent="0.35">
      <c r="A98" s="204"/>
      <c r="B98" s="237" t="s">
        <v>163</v>
      </c>
      <c r="C98" s="237"/>
      <c r="D98" s="282"/>
      <c r="E98" s="185"/>
      <c r="F98" t="s">
        <v>164</v>
      </c>
      <c r="O98" s="204"/>
    </row>
    <row r="99" spans="1:17" x14ac:dyDescent="0.25">
      <c r="A99" s="204"/>
      <c r="B99" s="59"/>
      <c r="C99" s="59"/>
      <c r="D99" s="59"/>
      <c r="E99" s="59"/>
      <c r="O99" s="204"/>
    </row>
    <row r="100" spans="1:17" x14ac:dyDescent="0.25">
      <c r="A100" s="204"/>
      <c r="B100" s="32"/>
      <c r="C100" s="59"/>
      <c r="G100" s="241" t="s">
        <v>166</v>
      </c>
      <c r="H100" s="241"/>
      <c r="I100" s="241"/>
      <c r="K100" s="43"/>
      <c r="L100" s="184"/>
      <c r="O100" s="204"/>
    </row>
    <row r="101" spans="1:17" x14ac:dyDescent="0.25">
      <c r="A101" s="204"/>
      <c r="B101" s="220" t="s">
        <v>170</v>
      </c>
      <c r="C101" s="220"/>
      <c r="D101" s="275"/>
      <c r="E101" s="296"/>
      <c r="G101" s="2" t="s">
        <v>172</v>
      </c>
      <c r="H101" s="294"/>
      <c r="I101" s="295"/>
      <c r="K101" s="2" t="s">
        <v>167</v>
      </c>
      <c r="L101" s="123"/>
      <c r="M101" t="s">
        <v>169</v>
      </c>
      <c r="O101" s="204"/>
    </row>
    <row r="102" spans="1:17" x14ac:dyDescent="0.25">
      <c r="A102" s="204"/>
      <c r="B102" s="181"/>
      <c r="C102" s="178" t="s">
        <v>174</v>
      </c>
      <c r="D102" s="275"/>
      <c r="E102" s="296"/>
      <c r="G102" s="43" t="s">
        <v>176</v>
      </c>
      <c r="H102" s="123"/>
      <c r="I102" t="s">
        <v>177</v>
      </c>
      <c r="L102" s="15"/>
      <c r="M102" s="15"/>
      <c r="N102" s="15"/>
      <c r="O102" s="204"/>
      <c r="P102" s="15" t="s">
        <v>180</v>
      </c>
      <c r="Q102" s="15" t="s">
        <v>179</v>
      </c>
    </row>
    <row r="103" spans="1:17" x14ac:dyDescent="0.25">
      <c r="A103" s="204"/>
      <c r="B103" s="164"/>
      <c r="C103" s="164"/>
      <c r="G103" s="2"/>
      <c r="H103" s="197"/>
      <c r="K103" s="43"/>
      <c r="L103" s="184" t="s">
        <v>178</v>
      </c>
      <c r="M103" s="74" t="s">
        <v>280</v>
      </c>
      <c r="O103" s="204"/>
      <c r="P103" s="89" t="str">
        <f>IF(L104="","",$L104)</f>
        <v/>
      </c>
      <c r="Q103" s="89" t="str">
        <f>IF($L104="","",$L104)</f>
        <v/>
      </c>
    </row>
    <row r="104" spans="1:17" x14ac:dyDescent="0.25">
      <c r="A104" s="204"/>
      <c r="B104" s="244"/>
      <c r="C104" s="244"/>
      <c r="G104" s="2"/>
      <c r="H104" s="197" t="s">
        <v>183</v>
      </c>
      <c r="K104" s="43" t="s">
        <v>181</v>
      </c>
      <c r="L104" s="183"/>
      <c r="M104" s="89" t="str">
        <f t="shared" ref="M104:M106" si="1">IF($L104="","",$L104)</f>
        <v/>
      </c>
      <c r="N104" t="s">
        <v>182</v>
      </c>
      <c r="O104" s="204"/>
      <c r="P104" s="89" t="str">
        <f>IF($L105="","",$L105)</f>
        <v/>
      </c>
      <c r="Q104" s="89" t="str">
        <f>IF($L105="","",$L105)</f>
        <v/>
      </c>
    </row>
    <row r="105" spans="1:17" ht="18" x14ac:dyDescent="0.35">
      <c r="A105" s="204"/>
      <c r="B105" s="15"/>
      <c r="C105" s="15" t="s">
        <v>185</v>
      </c>
      <c r="D105" s="249"/>
      <c r="E105" s="297"/>
      <c r="G105" s="43"/>
      <c r="H105" s="15"/>
      <c r="K105" s="43" t="s">
        <v>184</v>
      </c>
      <c r="L105" s="123"/>
      <c r="M105" s="89" t="str">
        <f t="shared" si="1"/>
        <v/>
      </c>
      <c r="N105" t="s">
        <v>164</v>
      </c>
      <c r="O105" s="204"/>
      <c r="P105" s="89" t="str">
        <f>IF($L106="","",$L106)</f>
        <v/>
      </c>
      <c r="Q105" s="89" t="str">
        <f>IF($L106="","",$L106)</f>
        <v/>
      </c>
    </row>
    <row r="106" spans="1:17" ht="18" x14ac:dyDescent="0.35">
      <c r="A106" s="204"/>
      <c r="B106" s="15"/>
      <c r="C106" s="15" t="s">
        <v>187</v>
      </c>
      <c r="D106" s="249"/>
      <c r="E106" s="297"/>
      <c r="G106" s="2" t="s">
        <v>188</v>
      </c>
      <c r="H106" s="202">
        <v>4</v>
      </c>
      <c r="J106" s="43"/>
      <c r="K106" s="2" t="s">
        <v>186</v>
      </c>
      <c r="L106" s="182"/>
      <c r="M106" s="89" t="str">
        <f t="shared" si="1"/>
        <v/>
      </c>
      <c r="N106" t="s">
        <v>182</v>
      </c>
      <c r="O106" s="204"/>
      <c r="P106" s="15"/>
      <c r="Q106" s="15"/>
    </row>
    <row r="107" spans="1:17" x14ac:dyDescent="0.25">
      <c r="A107" s="204"/>
      <c r="F107" s="2"/>
      <c r="J107" s="43"/>
      <c r="K107" s="15"/>
      <c r="L107" s="15"/>
      <c r="O107" s="204"/>
      <c r="P107" s="15"/>
      <c r="Q107" s="15"/>
    </row>
    <row r="108" spans="1:17" ht="15.75" thickBot="1" x14ac:dyDescent="0.3">
      <c r="A108" s="204"/>
      <c r="B108" s="245" t="s">
        <v>189</v>
      </c>
      <c r="C108" s="245"/>
      <c r="D108" s="245"/>
      <c r="E108" s="245"/>
      <c r="F108" s="245"/>
      <c r="O108" s="204"/>
    </row>
    <row r="109" spans="1:17" x14ac:dyDescent="0.25">
      <c r="A109" s="204"/>
      <c r="O109" s="204"/>
    </row>
    <row r="110" spans="1:17" x14ac:dyDescent="0.25">
      <c r="A110" s="204"/>
      <c r="O110" s="204"/>
    </row>
    <row r="111" spans="1:17" x14ac:dyDescent="0.25">
      <c r="A111" s="204"/>
      <c r="O111" s="204"/>
    </row>
    <row r="112" spans="1:17" ht="15.75" thickBot="1" x14ac:dyDescent="0.3">
      <c r="A112" s="204"/>
      <c r="C112" s="51" t="s">
        <v>190</v>
      </c>
      <c r="D112" s="52" t="s">
        <v>191</v>
      </c>
      <c r="E112" s="51" t="s">
        <v>192</v>
      </c>
      <c r="F112" s="52" t="s">
        <v>193</v>
      </c>
      <c r="G112" s="51" t="s">
        <v>194</v>
      </c>
      <c r="H112" s="52" t="s">
        <v>195</v>
      </c>
      <c r="I112" s="51" t="s">
        <v>281</v>
      </c>
      <c r="J112" s="52" t="s">
        <v>282</v>
      </c>
      <c r="L112" s="69" t="s">
        <v>170</v>
      </c>
      <c r="M112" t="str">
        <f>IF(OR(D101="",D102=""),"",D101&amp;" "&amp;D102)</f>
        <v/>
      </c>
      <c r="O112" s="204"/>
    </row>
    <row r="113" spans="1:15" ht="18.75" thickTop="1" x14ac:dyDescent="0.35">
      <c r="A113" s="204"/>
      <c r="B113" s="2" t="s">
        <v>196</v>
      </c>
      <c r="C113" s="44" t="str">
        <f>IF(E98="","",IFERROR(((E98/C30)*(C25+G58))/C25,""))</f>
        <v/>
      </c>
      <c r="D113" s="25" t="str">
        <f>C113</f>
        <v/>
      </c>
      <c r="E113" s="44" t="str">
        <f>IF(E98="","",IFERROR(((E98/C30)*(C26+G59+G60))/C26,""))</f>
        <v/>
      </c>
      <c r="F113" s="25" t="str">
        <f>E113</f>
        <v/>
      </c>
      <c r="G113" s="44" t="str">
        <f>IF(E98="","",IFERROR(((E98/C30)*(G61+C27+G62))/C27,""))</f>
        <v/>
      </c>
      <c r="H113" s="25" t="str">
        <f>G113</f>
        <v/>
      </c>
      <c r="I113" s="44" t="str">
        <f>IF(E98="","",IFERROR(((E98/C30)*(G63+C28))/C28,""))</f>
        <v/>
      </c>
      <c r="J113" s="25" t="str">
        <f>I113</f>
        <v/>
      </c>
      <c r="K113" s="32" t="s">
        <v>197</v>
      </c>
      <c r="L113" s="158" t="s">
        <v>167</v>
      </c>
      <c r="M113" t="str">
        <f>IF(L101="","",L101)</f>
        <v/>
      </c>
      <c r="O113" s="204"/>
    </row>
    <row r="114" spans="1:15" x14ac:dyDescent="0.25">
      <c r="A114" s="204"/>
      <c r="B114" s="2" t="s">
        <v>176</v>
      </c>
      <c r="C114" s="28" t="str">
        <f>IF($H$102="","",$H$102)</f>
        <v/>
      </c>
      <c r="D114" s="22" t="str">
        <f t="shared" ref="D114:J114" si="2">IF($H$102="","",$H$102)</f>
        <v/>
      </c>
      <c r="E114" s="28" t="str">
        <f t="shared" si="2"/>
        <v/>
      </c>
      <c r="F114" s="22" t="str">
        <f t="shared" si="2"/>
        <v/>
      </c>
      <c r="G114" s="28" t="str">
        <f t="shared" si="2"/>
        <v/>
      </c>
      <c r="H114" s="22" t="str">
        <f t="shared" si="2"/>
        <v/>
      </c>
      <c r="I114" s="28" t="str">
        <f t="shared" si="2"/>
        <v/>
      </c>
      <c r="J114" s="22" t="str">
        <f t="shared" si="2"/>
        <v/>
      </c>
      <c r="K114" s="32" t="s">
        <v>177</v>
      </c>
      <c r="O114" s="204"/>
    </row>
    <row r="115" spans="1:15" x14ac:dyDescent="0.25">
      <c r="A115" s="204"/>
      <c r="B115" s="2" t="s">
        <v>198</v>
      </c>
      <c r="C115" s="29" t="str">
        <f>C29</f>
        <v/>
      </c>
      <c r="D115" s="23" t="str">
        <f>IF(C29="","",C29-E27)</f>
        <v/>
      </c>
      <c r="E115" s="29" t="str">
        <f>$D$115</f>
        <v/>
      </c>
      <c r="F115" s="23" t="str">
        <f>$D$115</f>
        <v/>
      </c>
      <c r="G115" s="29" t="str">
        <f>$D$115</f>
        <v/>
      </c>
      <c r="H115" s="23" t="str">
        <f>$D$115</f>
        <v/>
      </c>
      <c r="I115" s="29" t="str">
        <f>$D$115</f>
        <v/>
      </c>
      <c r="J115" s="23" t="str">
        <f>C115</f>
        <v/>
      </c>
      <c r="K115" s="32" t="s">
        <v>199</v>
      </c>
      <c r="O115" s="204"/>
    </row>
    <row r="116" spans="1:15" x14ac:dyDescent="0.25">
      <c r="A116" s="204"/>
      <c r="B116" s="2" t="s">
        <v>200</v>
      </c>
      <c r="C116" s="191"/>
      <c r="D116" s="192"/>
      <c r="E116" s="191"/>
      <c r="F116" s="192"/>
      <c r="G116" s="191"/>
      <c r="H116" s="192"/>
      <c r="I116" s="191"/>
      <c r="J116" s="192"/>
      <c r="O116" s="204"/>
    </row>
    <row r="117" spans="1:15" x14ac:dyDescent="0.25">
      <c r="A117" s="204"/>
      <c r="B117" s="2" t="s">
        <v>201</v>
      </c>
      <c r="C117" s="193"/>
      <c r="D117" s="194"/>
      <c r="E117" s="193"/>
      <c r="F117" s="194"/>
      <c r="G117" s="193"/>
      <c r="H117" s="194"/>
      <c r="I117" s="193"/>
      <c r="J117" s="194"/>
      <c r="O117" s="204"/>
    </row>
    <row r="118" spans="1:15" ht="17.25" x14ac:dyDescent="0.25">
      <c r="A118" s="204"/>
      <c r="B118" s="2" t="s">
        <v>203</v>
      </c>
      <c r="C118" s="195"/>
      <c r="D118" s="196"/>
      <c r="E118" s="195"/>
      <c r="F118" s="196"/>
      <c r="G118" s="195"/>
      <c r="H118" s="196"/>
      <c r="I118" s="195"/>
      <c r="J118" s="196"/>
      <c r="K118" s="32" t="s">
        <v>204</v>
      </c>
      <c r="O118" s="204"/>
    </row>
    <row r="119" spans="1:15" ht="17.25" x14ac:dyDescent="0.25">
      <c r="A119" s="204"/>
      <c r="B119" s="2" t="s">
        <v>205</v>
      </c>
      <c r="C119" s="30" t="str">
        <f>IF(C$118="",IF(C$117="","",VLOOKUP(C$117,Table2[],2,FALSE)*C$116),C$118)</f>
        <v/>
      </c>
      <c r="D119" s="21" t="str">
        <f>IF(D$118="",IF(D$117="","",VLOOKUP(D$117,Table2[],2,FALSE)*D$116),D$118)</f>
        <v/>
      </c>
      <c r="E119" s="30" t="str">
        <f>IF(E$118="",IF(E$117="","",VLOOKUP(E$117,Table2[],2,FALSE)*E$116),E$118)</f>
        <v/>
      </c>
      <c r="F119" s="21" t="str">
        <f>IF(F$118="",IF(F$117="","",VLOOKUP(F$117,Table2[],2,FALSE)*F$116),F$118)</f>
        <v/>
      </c>
      <c r="G119" s="30" t="str">
        <f>IF(G$118="",IF(G$117="","",VLOOKUP(G$117,Table2[],2,FALSE)*G$116),G$118)</f>
        <v/>
      </c>
      <c r="H119" s="21" t="str">
        <f>IF(H$118="",IF(H$117="","",VLOOKUP(H$117,Table2[],2,FALSE)*H$116),H$118)</f>
        <v/>
      </c>
      <c r="I119" s="30" t="str">
        <f>IF(I$118="",IF(I$117="","",VLOOKUP(I$117,Table2[],2,FALSE)*I$116),I$118)</f>
        <v/>
      </c>
      <c r="J119" s="21" t="str">
        <f>IF(J$118="",IF(J$117="","",VLOOKUP(J$117,Table2[],2,FALSE)*J$116),J$118)</f>
        <v/>
      </c>
      <c r="K119" s="32" t="s">
        <v>204</v>
      </c>
      <c r="O119" s="204"/>
    </row>
    <row r="120" spans="1:15" ht="18" x14ac:dyDescent="0.35">
      <c r="A120" s="204"/>
      <c r="B120" s="2" t="s">
        <v>206</v>
      </c>
      <c r="C120" s="31" t="str">
        <f>IF(D105&lt;&gt;"",D105,IF(OR(D101="",D102=""),"",(IF(D101="Other Material",0,(VLOOKUP(D101&amp;D102,Table25,3,FALSE))))))</f>
        <v/>
      </c>
      <c r="D120" s="24" t="str">
        <f t="shared" ref="D120:J120" si="3">C120</f>
        <v/>
      </c>
      <c r="E120" s="31" t="str">
        <f t="shared" si="3"/>
        <v/>
      </c>
      <c r="F120" s="24" t="str">
        <f t="shared" si="3"/>
        <v/>
      </c>
      <c r="G120" s="31" t="str">
        <f t="shared" si="3"/>
        <v/>
      </c>
      <c r="H120" s="24" t="str">
        <f t="shared" si="3"/>
        <v/>
      </c>
      <c r="I120" s="31" t="str">
        <f t="shared" si="3"/>
        <v/>
      </c>
      <c r="J120" s="24" t="str">
        <f t="shared" si="3"/>
        <v/>
      </c>
      <c r="K120" s="32" t="s">
        <v>207</v>
      </c>
      <c r="O120" s="204"/>
    </row>
    <row r="121" spans="1:15" x14ac:dyDescent="0.25">
      <c r="A121" s="204"/>
      <c r="B121" s="2" t="s">
        <v>181</v>
      </c>
      <c r="C121" s="30" t="str">
        <f>IF(L104="","",L104)</f>
        <v/>
      </c>
      <c r="D121" s="21" t="str">
        <f>C121</f>
        <v/>
      </c>
      <c r="E121" s="30" t="str">
        <f>P103</f>
        <v/>
      </c>
      <c r="F121" s="21" t="str">
        <f>E121</f>
        <v/>
      </c>
      <c r="G121" s="30" t="str">
        <f>Q103</f>
        <v/>
      </c>
      <c r="H121" s="21" t="str">
        <f>G121</f>
        <v/>
      </c>
      <c r="I121" s="30" t="str">
        <f>M104</f>
        <v/>
      </c>
      <c r="J121" s="21" t="str">
        <f>I121</f>
        <v/>
      </c>
      <c r="K121" s="32" t="s">
        <v>182</v>
      </c>
      <c r="O121" s="204"/>
    </row>
    <row r="122" spans="1:15" ht="18" x14ac:dyDescent="0.35">
      <c r="A122" s="204"/>
      <c r="B122" s="2" t="s">
        <v>208</v>
      </c>
      <c r="C122" s="44" t="str">
        <f t="shared" ref="C122:J122" si="4">IFERROR(C113/(12/C121),"")</f>
        <v/>
      </c>
      <c r="D122" s="25" t="str">
        <f t="shared" si="4"/>
        <v/>
      </c>
      <c r="E122" s="44" t="str">
        <f t="shared" si="4"/>
        <v/>
      </c>
      <c r="F122" s="25" t="str">
        <f t="shared" si="4"/>
        <v/>
      </c>
      <c r="G122" s="44" t="str">
        <f t="shared" si="4"/>
        <v/>
      </c>
      <c r="H122" s="25" t="str">
        <f t="shared" si="4"/>
        <v/>
      </c>
      <c r="I122" s="44" t="str">
        <f t="shared" si="4"/>
        <v/>
      </c>
      <c r="J122" s="25" t="str">
        <f t="shared" si="4"/>
        <v/>
      </c>
      <c r="K122" s="32" t="s">
        <v>197</v>
      </c>
      <c r="O122" s="204"/>
    </row>
    <row r="123" spans="1:15" ht="18" x14ac:dyDescent="0.35">
      <c r="A123" s="204"/>
      <c r="B123" s="2" t="s">
        <v>209</v>
      </c>
      <c r="C123" s="45" t="str">
        <f>IF(OR(L101="",D102="",E98="",C122=""),"",(VLOOKUP(L101&amp;D102,FastenerSlip,7,FALSE)*((C122/VLOOKUP(L101&amp;D102,FastenerSlip,3,FALSE))^VLOOKUP(L101&amp;D102,FastenerSlip,5,FALSE))))</f>
        <v/>
      </c>
      <c r="D123" s="26" t="str">
        <f>C123</f>
        <v/>
      </c>
      <c r="E123" s="45" t="str">
        <f>IF(OR(L101="",D102="",E98="",E122=""),"",(VLOOKUP(L101&amp;D102,FastenerSlip,7,FALSE)*((E122/VLOOKUP(L101&amp;D102,FastenerSlip,3,FALSE))^VLOOKUP(L101&amp;D102,FastenerSlip,5,FALSE))))</f>
        <v/>
      </c>
      <c r="F123" s="26" t="str">
        <f>E123</f>
        <v/>
      </c>
      <c r="G123" s="45" t="str">
        <f>IF(OR(L101="",D102="",E98="",G122=""),"",(VLOOKUP(L101&amp;D102,FastenerSlip,7,FALSE)*((G122/VLOOKUP(L101&amp;D102,FastenerSlip,3,FALSE))^VLOOKUP(L101&amp;D102,FastenerSlip,5,FALSE))))</f>
        <v/>
      </c>
      <c r="H123" s="26" t="str">
        <f>G123</f>
        <v/>
      </c>
      <c r="I123" s="45" t="str">
        <f>IF(OR(L101="",D102="",E98="",I122=""),"",(VLOOKUP(L101&amp;D102,FastenerSlip,7,FALSE)*((I122/VLOOKUP(L101&amp;D102,FastenerSlip,3,FALSE))^VLOOKUP(L101&amp;D102,FastenerSlip,5,FALSE))))</f>
        <v/>
      </c>
      <c r="J123" s="26" t="str">
        <f>I123</f>
        <v/>
      </c>
      <c r="K123" s="32" t="s">
        <v>182</v>
      </c>
      <c r="O123" s="204"/>
    </row>
    <row r="124" spans="1:15" x14ac:dyDescent="0.25">
      <c r="A124" s="204"/>
      <c r="B124" s="2" t="s">
        <v>210</v>
      </c>
      <c r="C124" s="29" t="str">
        <f>IF(C25="","",C25)</f>
        <v/>
      </c>
      <c r="D124" s="23" t="str">
        <f>C124</f>
        <v/>
      </c>
      <c r="E124" s="29" t="str">
        <f>IF(C26="","",C26)</f>
        <v/>
      </c>
      <c r="F124" s="23" t="str">
        <f>E124</f>
        <v/>
      </c>
      <c r="G124" s="29" t="str">
        <f>IF(C27="","",C27)</f>
        <v/>
      </c>
      <c r="H124" s="23" t="str">
        <f>G124</f>
        <v/>
      </c>
      <c r="I124" s="29" t="str">
        <f>IF(C28="","",C28)</f>
        <v/>
      </c>
      <c r="J124" s="23" t="str">
        <f>I124</f>
        <v/>
      </c>
      <c r="K124" s="32" t="s">
        <v>199</v>
      </c>
      <c r="O124" s="204"/>
    </row>
    <row r="125" spans="1:15" x14ac:dyDescent="0.25">
      <c r="A125" s="204"/>
      <c r="B125" s="2" t="s">
        <v>184</v>
      </c>
      <c r="C125" s="30" t="str">
        <f>IF(L105="","",L105)</f>
        <v/>
      </c>
      <c r="D125" s="21" t="str">
        <f>C125</f>
        <v/>
      </c>
      <c r="E125" s="30" t="str">
        <f>P104</f>
        <v/>
      </c>
      <c r="F125" s="21" t="str">
        <f>E125</f>
        <v/>
      </c>
      <c r="G125" s="30" t="str">
        <f>Q104</f>
        <v/>
      </c>
      <c r="H125" s="21" t="str">
        <f>G125</f>
        <v/>
      </c>
      <c r="I125" s="30" t="str">
        <f>M105</f>
        <v/>
      </c>
      <c r="J125" s="21" t="str">
        <f>I125</f>
        <v/>
      </c>
      <c r="K125" s="32" t="s">
        <v>164</v>
      </c>
      <c r="O125" s="204"/>
    </row>
    <row r="126" spans="1:15" x14ac:dyDescent="0.25">
      <c r="A126" s="204"/>
      <c r="B126" s="2" t="s">
        <v>211</v>
      </c>
      <c r="C126" s="50" t="str">
        <f>IF(L106="","",L106)</f>
        <v/>
      </c>
      <c r="D126" s="27" t="str">
        <f>C126</f>
        <v/>
      </c>
      <c r="E126" s="50" t="str">
        <f>P105</f>
        <v/>
      </c>
      <c r="F126" s="27" t="str">
        <f>E126</f>
        <v/>
      </c>
      <c r="G126" s="50" t="str">
        <f>Q105</f>
        <v/>
      </c>
      <c r="H126" s="27" t="str">
        <f>G126</f>
        <v/>
      </c>
      <c r="I126" s="50" t="str">
        <f>M106</f>
        <v/>
      </c>
      <c r="J126" s="27" t="str">
        <f>I126</f>
        <v/>
      </c>
      <c r="K126" s="32" t="s">
        <v>182</v>
      </c>
      <c r="O126" s="204"/>
    </row>
    <row r="127" spans="1:15" x14ac:dyDescent="0.25">
      <c r="A127" s="204"/>
      <c r="O127" s="204"/>
    </row>
    <row r="128" spans="1:15" ht="15.75" thickBot="1" x14ac:dyDescent="0.3">
      <c r="A128" s="204"/>
      <c r="C128" s="4" t="s">
        <v>212</v>
      </c>
      <c r="O128" s="204"/>
    </row>
    <row r="129" spans="1:15" x14ac:dyDescent="0.25">
      <c r="A129" s="204"/>
      <c r="C129" s="252" t="s">
        <v>213</v>
      </c>
      <c r="D129" s="253"/>
      <c r="E129" s="253"/>
      <c r="F129" s="254"/>
      <c r="G129" s="252" t="s">
        <v>214</v>
      </c>
      <c r="H129" s="253"/>
      <c r="I129" s="253"/>
      <c r="J129" s="254"/>
      <c r="O129" s="204"/>
    </row>
    <row r="130" spans="1:15" x14ac:dyDescent="0.25">
      <c r="A130" s="204"/>
      <c r="C130" s="18" t="s">
        <v>215</v>
      </c>
      <c r="D130" s="17" t="s">
        <v>216</v>
      </c>
      <c r="E130" s="17" t="s">
        <v>217</v>
      </c>
      <c r="F130" s="16" t="s">
        <v>218</v>
      </c>
      <c r="G130" s="18" t="s">
        <v>215</v>
      </c>
      <c r="H130" s="17" t="s">
        <v>216</v>
      </c>
      <c r="I130" s="17" t="s">
        <v>217</v>
      </c>
      <c r="J130" s="16" t="s">
        <v>218</v>
      </c>
      <c r="O130" s="204"/>
    </row>
    <row r="131" spans="1:15" x14ac:dyDescent="0.25">
      <c r="A131" s="204"/>
      <c r="C131" s="14" t="s">
        <v>219</v>
      </c>
      <c r="D131" s="13" t="s">
        <v>220</v>
      </c>
      <c r="E131" s="13" t="s">
        <v>221</v>
      </c>
      <c r="F131" s="12" t="s">
        <v>222</v>
      </c>
      <c r="G131" s="14" t="s">
        <v>219</v>
      </c>
      <c r="H131" s="13" t="s">
        <v>220</v>
      </c>
      <c r="I131" s="13" t="s">
        <v>221</v>
      </c>
      <c r="J131" s="12" t="s">
        <v>223</v>
      </c>
      <c r="O131" s="204"/>
    </row>
    <row r="132" spans="1:15" ht="15.75" thickBot="1" x14ac:dyDescent="0.3">
      <c r="A132" s="204"/>
      <c r="C132" s="11" t="str">
        <f>IFERROR(8*C113*C115^3/(C114*C119*C124),"")</f>
        <v/>
      </c>
      <c r="D132" s="10" t="str">
        <f>IFERROR(C113*C115/(C120),"")</f>
        <v/>
      </c>
      <c r="E132" s="10" t="str">
        <f>IFERROR(0.75*C115*C123,"")</f>
        <v/>
      </c>
      <c r="F132" s="9" t="str">
        <f>IFERROR(C126*C113*C115/C125*(C115/C124),"")</f>
        <v/>
      </c>
      <c r="G132" s="11" t="str">
        <f>IFERROR(8*D113*D115^3/(D114*D119*D124),"")</f>
        <v/>
      </c>
      <c r="H132" s="10" t="str">
        <f>IFERROR(D113*D115/(D120),"")</f>
        <v/>
      </c>
      <c r="I132" s="10" t="str">
        <f>IFERROR(0.75*D115*D123,"")</f>
        <v/>
      </c>
      <c r="J132" s="9" t="str">
        <f>IFERROR(D126*D113*D115/D125*(D115/D124),"")</f>
        <v/>
      </c>
      <c r="O132" s="204"/>
    </row>
    <row r="133" spans="1:15" ht="15.75" thickBot="1" x14ac:dyDescent="0.3">
      <c r="A133" s="204"/>
      <c r="C133" s="7"/>
      <c r="D133" s="6"/>
      <c r="E133" s="54" t="s">
        <v>224</v>
      </c>
      <c r="F133" s="5" t="str">
        <f>IF(OR(C132="",D132="",E132="",F132=""),"",SUM(C132:F132))</f>
        <v/>
      </c>
      <c r="G133" s="7"/>
      <c r="H133" s="6"/>
      <c r="I133" s="54" t="s">
        <v>224</v>
      </c>
      <c r="J133" s="5" t="str">
        <f>IF(OR(G132="",H132="",I132="",J132=""),"",SUM(G132:J132))</f>
        <v/>
      </c>
      <c r="O133" s="204"/>
    </row>
    <row r="134" spans="1:15" x14ac:dyDescent="0.25">
      <c r="A134" s="204"/>
      <c r="C134" s="252" t="s">
        <v>225</v>
      </c>
      <c r="D134" s="253"/>
      <c r="E134" s="253"/>
      <c r="F134" s="254"/>
      <c r="G134" s="252" t="s">
        <v>226</v>
      </c>
      <c r="H134" s="253"/>
      <c r="I134" s="253"/>
      <c r="J134" s="254"/>
      <c r="O134" s="204"/>
    </row>
    <row r="135" spans="1:15" x14ac:dyDescent="0.25">
      <c r="A135" s="204"/>
      <c r="C135" s="18" t="s">
        <v>215</v>
      </c>
      <c r="D135" s="17" t="s">
        <v>216</v>
      </c>
      <c r="E135" s="17" t="s">
        <v>217</v>
      </c>
      <c r="F135" s="16" t="s">
        <v>218</v>
      </c>
      <c r="G135" s="18" t="s">
        <v>215</v>
      </c>
      <c r="H135" s="17" t="s">
        <v>216</v>
      </c>
      <c r="I135" s="17" t="s">
        <v>217</v>
      </c>
      <c r="J135" s="16" t="s">
        <v>218</v>
      </c>
      <c r="O135" s="204"/>
    </row>
    <row r="136" spans="1:15" ht="15.75" thickBot="1" x14ac:dyDescent="0.3">
      <c r="A136" s="204"/>
      <c r="C136" s="14" t="s">
        <v>219</v>
      </c>
      <c r="D136" s="13" t="s">
        <v>220</v>
      </c>
      <c r="E136" s="13" t="s">
        <v>221</v>
      </c>
      <c r="F136" s="12" t="s">
        <v>222</v>
      </c>
      <c r="G136" s="14" t="s">
        <v>219</v>
      </c>
      <c r="H136" s="13" t="s">
        <v>220</v>
      </c>
      <c r="I136" s="13" t="s">
        <v>221</v>
      </c>
      <c r="J136" s="12" t="s">
        <v>223</v>
      </c>
      <c r="O136" s="204"/>
    </row>
    <row r="137" spans="1:15" ht="15.75" thickBot="1" x14ac:dyDescent="0.3">
      <c r="A137" s="204"/>
      <c r="C137" s="11" t="str">
        <f>IFERROR(8*E113*E115^3/(E114*E119*E124),"")</f>
        <v/>
      </c>
      <c r="D137" s="10" t="str">
        <f>IFERROR(E113*E115/(E120),"")</f>
        <v/>
      </c>
      <c r="E137" s="10" t="str">
        <f>IFERROR(0.75*E115*E123,"")</f>
        <v/>
      </c>
      <c r="F137" s="9" t="str">
        <f>IFERROR(E126*E113*E115/E125*(E115/E124),"")</f>
        <v/>
      </c>
      <c r="G137" s="11" t="str">
        <f>IFERROR(8*F113*F115^3/(F114*F119*F124),"")</f>
        <v/>
      </c>
      <c r="H137" s="10" t="str">
        <f>IFERROR(F113*F115/(F120),"")</f>
        <v/>
      </c>
      <c r="I137" s="10" t="str">
        <f>IFERROR(0.75*F115*F123,"")</f>
        <v/>
      </c>
      <c r="J137" s="9" t="str">
        <f>IFERROR(F126*F113*F115/F125*(F115/F124),"")</f>
        <v/>
      </c>
      <c r="L137" s="55" t="s">
        <v>227</v>
      </c>
      <c r="O137" s="204"/>
    </row>
    <row r="138" spans="1:15" ht="15.75" thickBot="1" x14ac:dyDescent="0.3">
      <c r="A138" s="204"/>
      <c r="C138" s="7"/>
      <c r="D138" s="6"/>
      <c r="E138" s="54" t="s">
        <v>224</v>
      </c>
      <c r="F138" s="5" t="str">
        <f>IF(OR(C137="",D137="",E137="",F137=""),"",SUM(C137:F137))</f>
        <v/>
      </c>
      <c r="G138" s="7"/>
      <c r="H138" s="6"/>
      <c r="I138" s="54" t="s">
        <v>224</v>
      </c>
      <c r="J138" s="5" t="str">
        <f>IF(OR(G137="",H137="",I137="",J137=""),"",SUM(G137:J137))</f>
        <v/>
      </c>
      <c r="L138" s="56" t="s">
        <v>228</v>
      </c>
      <c r="O138" s="204"/>
    </row>
    <row r="139" spans="1:15" x14ac:dyDescent="0.25">
      <c r="A139" s="204"/>
      <c r="C139" s="252" t="s">
        <v>229</v>
      </c>
      <c r="D139" s="253"/>
      <c r="E139" s="253"/>
      <c r="F139" s="254"/>
      <c r="G139" s="252" t="s">
        <v>230</v>
      </c>
      <c r="H139" s="253"/>
      <c r="I139" s="253"/>
      <c r="J139" s="254"/>
      <c r="L139" s="57" t="str">
        <f>IF(J133="","",AVERAGE(F133,J133,F138,J138,F143,J143,F148,J148))</f>
        <v/>
      </c>
      <c r="M139" t="s">
        <v>182</v>
      </c>
      <c r="O139" s="204"/>
    </row>
    <row r="140" spans="1:15" ht="15.75" thickBot="1" x14ac:dyDescent="0.3">
      <c r="A140" s="204"/>
      <c r="C140" s="18" t="s">
        <v>215</v>
      </c>
      <c r="D140" s="17" t="s">
        <v>216</v>
      </c>
      <c r="E140" s="17" t="s">
        <v>217</v>
      </c>
      <c r="F140" s="16" t="s">
        <v>218</v>
      </c>
      <c r="G140" s="18" t="s">
        <v>215</v>
      </c>
      <c r="H140" s="17" t="s">
        <v>216</v>
      </c>
      <c r="I140" s="17" t="s">
        <v>217</v>
      </c>
      <c r="J140" s="16" t="s">
        <v>218</v>
      </c>
      <c r="L140" s="58" t="str">
        <f>IFERROR(IF(H106="",1,H106)*L139/(C115*12),"")</f>
        <v/>
      </c>
      <c r="M140" t="s">
        <v>231</v>
      </c>
      <c r="O140" s="204"/>
    </row>
    <row r="141" spans="1:15" x14ac:dyDescent="0.25">
      <c r="A141" s="204"/>
      <c r="C141" s="14" t="s">
        <v>219</v>
      </c>
      <c r="D141" s="13" t="s">
        <v>220</v>
      </c>
      <c r="E141" s="13" t="s">
        <v>221</v>
      </c>
      <c r="F141" s="12" t="s">
        <v>222</v>
      </c>
      <c r="G141" s="14" t="s">
        <v>219</v>
      </c>
      <c r="H141" s="13" t="s">
        <v>220</v>
      </c>
      <c r="I141" s="13" t="s">
        <v>221</v>
      </c>
      <c r="J141" s="12" t="s">
        <v>223</v>
      </c>
      <c r="O141" s="204"/>
    </row>
    <row r="142" spans="1:15" ht="15.75" thickBot="1" x14ac:dyDescent="0.3">
      <c r="A142" s="204"/>
      <c r="C142" s="11" t="str">
        <f>IFERROR(8*G113*G115^3/(G114*G119*G124),"")</f>
        <v/>
      </c>
      <c r="D142" s="10" t="str">
        <f>IFERROR(G113*G115/(G120),"")</f>
        <v/>
      </c>
      <c r="E142" s="10" t="str">
        <f>IFERROR(0.75*G115*G123,"")</f>
        <v/>
      </c>
      <c r="F142" s="9" t="str">
        <f>IFERROR(G126*G113*G115/G125*(G115/G124),"")</f>
        <v/>
      </c>
      <c r="G142" s="11" t="str">
        <f>IFERROR(8*H113*H115^3/(H114*H119*H124),"")</f>
        <v/>
      </c>
      <c r="H142" s="10" t="str">
        <f>IFERROR(H113*H115/(H120),"")</f>
        <v/>
      </c>
      <c r="I142" s="10" t="str">
        <f>IFERROR(0.75*H115*H123,"")</f>
        <v/>
      </c>
      <c r="J142" s="9" t="str">
        <f>IFERROR(H126*H113*H115/H125*(H115/H124),"")</f>
        <v/>
      </c>
      <c r="O142" s="204"/>
    </row>
    <row r="143" spans="1:15" ht="15.75" thickBot="1" x14ac:dyDescent="0.3">
      <c r="A143" s="204"/>
      <c r="C143" s="7"/>
      <c r="D143" s="6"/>
      <c r="E143" s="54" t="s">
        <v>224</v>
      </c>
      <c r="F143" s="5" t="str">
        <f>IF(OR(C142="",D142="",E142="",F142=""),"",SUM(C142:F142))</f>
        <v/>
      </c>
      <c r="G143" s="7"/>
      <c r="H143" s="6"/>
      <c r="I143" s="54" t="s">
        <v>224</v>
      </c>
      <c r="J143" s="5" t="str">
        <f>IF(OR(G142="",H142="",I142="",J142=""),"",SUM(G142:J142))</f>
        <v/>
      </c>
      <c r="O143" s="204"/>
    </row>
    <row r="144" spans="1:15" x14ac:dyDescent="0.25">
      <c r="A144" s="204"/>
      <c r="C144" s="252" t="s">
        <v>283</v>
      </c>
      <c r="D144" s="253"/>
      <c r="E144" s="253"/>
      <c r="F144" s="254"/>
      <c r="G144" s="252" t="s">
        <v>284</v>
      </c>
      <c r="H144" s="253"/>
      <c r="I144" s="253"/>
      <c r="J144" s="254"/>
      <c r="O144" s="204"/>
    </row>
    <row r="145" spans="1:15" x14ac:dyDescent="0.25">
      <c r="A145" s="204"/>
      <c r="C145" s="18" t="s">
        <v>215</v>
      </c>
      <c r="D145" s="17" t="s">
        <v>216</v>
      </c>
      <c r="E145" s="17" t="s">
        <v>217</v>
      </c>
      <c r="F145" s="16" t="s">
        <v>218</v>
      </c>
      <c r="G145" s="18" t="s">
        <v>215</v>
      </c>
      <c r="H145" s="17" t="s">
        <v>216</v>
      </c>
      <c r="I145" s="17" t="s">
        <v>217</v>
      </c>
      <c r="J145" s="16" t="s">
        <v>218</v>
      </c>
      <c r="O145" s="204"/>
    </row>
    <row r="146" spans="1:15" x14ac:dyDescent="0.25">
      <c r="A146" s="204"/>
      <c r="C146" s="14" t="s">
        <v>219</v>
      </c>
      <c r="D146" s="13" t="s">
        <v>220</v>
      </c>
      <c r="E146" s="13" t="s">
        <v>221</v>
      </c>
      <c r="F146" s="12" t="s">
        <v>222</v>
      </c>
      <c r="G146" s="14" t="s">
        <v>219</v>
      </c>
      <c r="H146" s="13" t="s">
        <v>220</v>
      </c>
      <c r="I146" s="13" t="s">
        <v>221</v>
      </c>
      <c r="J146" s="12" t="s">
        <v>223</v>
      </c>
      <c r="M146" s="15" t="s">
        <v>285</v>
      </c>
      <c r="O146" s="204"/>
    </row>
    <row r="147" spans="1:15" ht="15.75" thickBot="1" x14ac:dyDescent="0.3">
      <c r="A147" s="204"/>
      <c r="C147" s="11" t="str">
        <f>IFERROR(8*I113*I115^3/(I114*I119*I124),"")</f>
        <v/>
      </c>
      <c r="D147" s="10" t="str">
        <f>IFERROR(I113*I115/(I120),"")</f>
        <v/>
      </c>
      <c r="E147" s="10" t="str">
        <f>IFERROR(0.75*I115*I123,"")</f>
        <v/>
      </c>
      <c r="F147" s="9" t="str">
        <f>IFERROR(I126*I113*I115/I125*(I115/I124),"")</f>
        <v/>
      </c>
      <c r="G147" s="11" t="str">
        <f>IFERROR(8*J113*J115^3/(J114*J119*J124),"")</f>
        <v/>
      </c>
      <c r="H147" s="10" t="str">
        <f>IFERROR(J113*J115/(J120),"")</f>
        <v/>
      </c>
      <c r="I147" s="10" t="str">
        <f>IFERROR(0.75*J115*J123,"")</f>
        <v/>
      </c>
      <c r="J147" s="9" t="str">
        <f>IFERROR(J126*J113*J115/J125*(J115/J124),"")</f>
        <v/>
      </c>
      <c r="O147" s="204"/>
    </row>
    <row r="148" spans="1:15" ht="15.75" thickBot="1" x14ac:dyDescent="0.3">
      <c r="A148" s="204"/>
      <c r="C148" s="7"/>
      <c r="D148" s="6"/>
      <c r="E148" s="54" t="s">
        <v>224</v>
      </c>
      <c r="F148" s="5" t="str">
        <f>IF(OR(C147="",D147="",E147="",F147=""),"",SUM(C147:F147))</f>
        <v/>
      </c>
      <c r="G148" s="7"/>
      <c r="H148" s="6"/>
      <c r="I148" s="54" t="s">
        <v>224</v>
      </c>
      <c r="J148" s="5" t="str">
        <f>IF(OR(G147="",H147="",I147="",J147=""),"",SUM(G147:J147))</f>
        <v/>
      </c>
      <c r="L148" s="15"/>
      <c r="O148" s="204"/>
    </row>
    <row r="149" spans="1:15" x14ac:dyDescent="0.25">
      <c r="A149" s="204"/>
      <c r="E149" s="2"/>
      <c r="F149" s="20"/>
      <c r="I149" s="2"/>
      <c r="J149" s="20"/>
      <c r="L149" s="15"/>
      <c r="O149" s="204"/>
    </row>
    <row r="150" spans="1:15" x14ac:dyDescent="0.25">
      <c r="A150" s="204"/>
      <c r="J150" s="53"/>
      <c r="O150" s="204"/>
    </row>
    <row r="151" spans="1:15" ht="15.75" thickBot="1" x14ac:dyDescent="0.3">
      <c r="A151" s="204"/>
      <c r="B151" s="245" t="s">
        <v>162</v>
      </c>
      <c r="C151" s="245"/>
      <c r="D151" s="225"/>
      <c r="E151" s="225"/>
      <c r="F151" s="6"/>
      <c r="G151" s="6"/>
      <c r="H151" s="6"/>
      <c r="I151" s="6"/>
      <c r="J151" s="6"/>
      <c r="K151" s="6"/>
      <c r="L151" s="6"/>
      <c r="M151" s="6"/>
      <c r="N151" s="6"/>
      <c r="O151" s="204"/>
    </row>
    <row r="152" spans="1:15" ht="18" x14ac:dyDescent="0.35">
      <c r="A152" s="204"/>
      <c r="B152" s="237" t="s">
        <v>163</v>
      </c>
      <c r="C152" s="237"/>
      <c r="D152" s="237"/>
      <c r="E152" s="186" t="str">
        <f>IF(E98="","",E98)</f>
        <v/>
      </c>
      <c r="F152" t="s">
        <v>164</v>
      </c>
      <c r="O152" s="204"/>
    </row>
    <row r="153" spans="1:15" x14ac:dyDescent="0.25">
      <c r="A153" s="204"/>
      <c r="J153" s="53"/>
      <c r="O153" s="204"/>
    </row>
    <row r="154" spans="1:15" x14ac:dyDescent="0.25">
      <c r="A154" s="204"/>
      <c r="G154" s="236" t="s">
        <v>166</v>
      </c>
      <c r="H154" s="236"/>
      <c r="I154" s="236"/>
      <c r="J154" s="53"/>
      <c r="O154" s="204"/>
    </row>
    <row r="155" spans="1:15" x14ac:dyDescent="0.25">
      <c r="A155" s="204"/>
      <c r="C155" s="2" t="s">
        <v>170</v>
      </c>
      <c r="D155" s="291" t="str">
        <f>IF(D101="","",D101)</f>
        <v/>
      </c>
      <c r="E155" s="292"/>
      <c r="G155" s="2" t="s">
        <v>172</v>
      </c>
      <c r="H155" s="259" t="str">
        <f t="shared" ref="H155:H158" si="5">IF(H101="","",H101)</f>
        <v/>
      </c>
      <c r="I155" s="260"/>
      <c r="J155" s="53"/>
      <c r="K155" s="2" t="s">
        <v>167</v>
      </c>
      <c r="L155" s="159" t="str">
        <f>IF(L101="","",L101)</f>
        <v/>
      </c>
      <c r="M155" t="s">
        <v>169</v>
      </c>
      <c r="O155" s="204"/>
    </row>
    <row r="156" spans="1:15" x14ac:dyDescent="0.25">
      <c r="A156" s="204"/>
      <c r="C156" s="2" t="s">
        <v>174</v>
      </c>
      <c r="D156" s="291" t="str">
        <f>IF(D102="","",D102)</f>
        <v/>
      </c>
      <c r="E156" s="292"/>
      <c r="G156" s="43" t="s">
        <v>176</v>
      </c>
      <c r="H156" s="163" t="str">
        <f t="shared" si="5"/>
        <v/>
      </c>
      <c r="I156" t="s">
        <v>177</v>
      </c>
      <c r="J156" s="53"/>
      <c r="O156" s="204"/>
    </row>
    <row r="157" spans="1:15" x14ac:dyDescent="0.25">
      <c r="A157" s="204"/>
      <c r="G157" s="2"/>
      <c r="H157" s="15"/>
      <c r="J157" s="53"/>
      <c r="K157" s="43"/>
      <c r="L157" s="15" t="s">
        <v>178</v>
      </c>
      <c r="M157" s="74" t="s">
        <v>280</v>
      </c>
      <c r="O157" s="204"/>
    </row>
    <row r="158" spans="1:15" x14ac:dyDescent="0.25">
      <c r="A158" s="204"/>
      <c r="G158" s="2"/>
      <c r="H158" s="15" t="str">
        <f t="shared" si="5"/>
        <v>Enter individual post sizes below.</v>
      </c>
      <c r="J158" s="53"/>
      <c r="K158" s="43" t="s">
        <v>181</v>
      </c>
      <c r="L158" s="187" t="str">
        <f t="shared" ref="L158:M160" si="6">IF(L104="","",L104)</f>
        <v/>
      </c>
      <c r="M158" s="187" t="str">
        <f t="shared" si="6"/>
        <v/>
      </c>
      <c r="N158" t="s">
        <v>182</v>
      </c>
      <c r="O158" s="204"/>
    </row>
    <row r="159" spans="1:15" ht="18" x14ac:dyDescent="0.35">
      <c r="A159" s="204"/>
      <c r="C159" s="15" t="s">
        <v>185</v>
      </c>
      <c r="D159" s="259" t="str">
        <f>IF(D105="","",D105)</f>
        <v/>
      </c>
      <c r="E159" s="260"/>
      <c r="G159" s="43"/>
      <c r="H159" s="15"/>
      <c r="J159" s="53"/>
      <c r="K159" s="43" t="s">
        <v>184</v>
      </c>
      <c r="L159" s="187" t="str">
        <f t="shared" si="6"/>
        <v/>
      </c>
      <c r="M159" s="187" t="str">
        <f t="shared" si="6"/>
        <v/>
      </c>
      <c r="N159" t="s">
        <v>164</v>
      </c>
      <c r="O159" s="204"/>
    </row>
    <row r="160" spans="1:15" ht="18" x14ac:dyDescent="0.35">
      <c r="A160" s="204"/>
      <c r="C160" s="15" t="s">
        <v>187</v>
      </c>
      <c r="D160" s="259" t="str">
        <f>IF(D106="","",D106)</f>
        <v/>
      </c>
      <c r="E160" s="260"/>
      <c r="G160" s="2" t="s">
        <v>188</v>
      </c>
      <c r="H160" s="203">
        <f>IF(H106="","",H106)</f>
        <v>4</v>
      </c>
      <c r="J160" s="53"/>
      <c r="K160" s="2" t="s">
        <v>186</v>
      </c>
      <c r="L160" s="187" t="str">
        <f t="shared" si="6"/>
        <v/>
      </c>
      <c r="M160" s="187" t="str">
        <f t="shared" si="6"/>
        <v/>
      </c>
      <c r="N160" t="s">
        <v>182</v>
      </c>
      <c r="O160" s="204"/>
    </row>
    <row r="161" spans="1:15" x14ac:dyDescent="0.25">
      <c r="A161" s="204"/>
      <c r="J161" s="53"/>
      <c r="O161" s="204"/>
    </row>
    <row r="162" spans="1:15" ht="15.75" thickBot="1" x14ac:dyDescent="0.3">
      <c r="A162" s="204"/>
      <c r="B162" s="245" t="s">
        <v>232</v>
      </c>
      <c r="C162" s="245"/>
      <c r="D162" s="245"/>
      <c r="E162" s="245"/>
      <c r="F162" s="245"/>
      <c r="O162" s="204"/>
    </row>
    <row r="163" spans="1:15" x14ac:dyDescent="0.25">
      <c r="A163" s="204"/>
      <c r="O163" s="204"/>
    </row>
    <row r="164" spans="1:15" x14ac:dyDescent="0.25">
      <c r="A164" s="204"/>
      <c r="O164" s="204"/>
    </row>
    <row r="165" spans="1:15" x14ac:dyDescent="0.25">
      <c r="A165" s="204"/>
      <c r="O165" s="204"/>
    </row>
    <row r="166" spans="1:15" ht="15.75" thickBot="1" x14ac:dyDescent="0.3">
      <c r="A166" s="204"/>
      <c r="C166" s="51" t="s">
        <v>190</v>
      </c>
      <c r="D166" s="52" t="s">
        <v>191</v>
      </c>
      <c r="E166" s="51" t="s">
        <v>192</v>
      </c>
      <c r="F166" s="52" t="s">
        <v>193</v>
      </c>
      <c r="G166" s="51" t="s">
        <v>194</v>
      </c>
      <c r="H166" s="52" t="s">
        <v>195</v>
      </c>
      <c r="I166" s="51" t="s">
        <v>281</v>
      </c>
      <c r="J166" s="52" t="s">
        <v>282</v>
      </c>
      <c r="L166" s="69" t="s">
        <v>170</v>
      </c>
      <c r="M166" t="str">
        <f>IF(OR($D$101="",$D$102=""),"",$D$101&amp;" "&amp;$D$102)</f>
        <v/>
      </c>
      <c r="O166" s="204"/>
    </row>
    <row r="167" spans="1:15" ht="18.75" thickTop="1" x14ac:dyDescent="0.35">
      <c r="A167" s="204"/>
      <c r="B167" s="2" t="s">
        <v>196</v>
      </c>
      <c r="C167" s="44" t="str">
        <f>IF(E98="","",IFERROR(((E98/C30)*(C25+G58))/C25,""))</f>
        <v/>
      </c>
      <c r="D167" s="25" t="str">
        <f>C167</f>
        <v/>
      </c>
      <c r="E167" s="44" t="str">
        <f>IF(E98="","",IFERROR(((E98/C30)*(C26+G59+G60))/C26,""))</f>
        <v/>
      </c>
      <c r="F167" s="25" t="str">
        <f>E167</f>
        <v/>
      </c>
      <c r="G167" s="44" t="str">
        <f>IF(E98="","",IFERROR(((E98/C30)*(G61+C27+G62))/C27,""))</f>
        <v/>
      </c>
      <c r="H167" s="25" t="str">
        <f>G167</f>
        <v/>
      </c>
      <c r="I167" s="44" t="str">
        <f>IF(E98="","",IFERROR(((E98/C30)*(G63+C28))/C28,""))</f>
        <v/>
      </c>
      <c r="J167" s="25" t="str">
        <f>I167</f>
        <v/>
      </c>
      <c r="K167" s="32" t="s">
        <v>197</v>
      </c>
      <c r="L167" s="158" t="s">
        <v>167</v>
      </c>
      <c r="M167" t="str">
        <f>IF($L$101="","",$L$101)</f>
        <v/>
      </c>
      <c r="O167" s="204"/>
    </row>
    <row r="168" spans="1:15" x14ac:dyDescent="0.25">
      <c r="A168" s="204"/>
      <c r="B168" s="2" t="s">
        <v>176</v>
      </c>
      <c r="C168" s="28" t="str">
        <f>IF($H$102="","",$H$102)</f>
        <v/>
      </c>
      <c r="D168" s="22" t="str">
        <f t="shared" ref="D168:J168" si="7">IF($H$102="","",$H$102)</f>
        <v/>
      </c>
      <c r="E168" s="28" t="str">
        <f t="shared" si="7"/>
        <v/>
      </c>
      <c r="F168" s="22" t="str">
        <f t="shared" si="7"/>
        <v/>
      </c>
      <c r="G168" s="28" t="str">
        <f t="shared" si="7"/>
        <v/>
      </c>
      <c r="H168" s="22" t="str">
        <f t="shared" si="7"/>
        <v/>
      </c>
      <c r="I168" s="28" t="str">
        <f t="shared" si="7"/>
        <v/>
      </c>
      <c r="J168" s="22" t="str">
        <f t="shared" si="7"/>
        <v/>
      </c>
      <c r="K168" s="32" t="s">
        <v>177</v>
      </c>
      <c r="O168" s="204"/>
    </row>
    <row r="169" spans="1:15" x14ac:dyDescent="0.25">
      <c r="A169" s="204"/>
      <c r="B169" s="2" t="s">
        <v>198</v>
      </c>
      <c r="C169" s="29" t="str">
        <f>C29</f>
        <v/>
      </c>
      <c r="D169" s="23" t="str">
        <f>IF(C29="","",C29-E27)</f>
        <v/>
      </c>
      <c r="E169" s="29" t="str">
        <f>D169</f>
        <v/>
      </c>
      <c r="F169" s="23" t="str">
        <f>D169</f>
        <v/>
      </c>
      <c r="G169" s="29" t="str">
        <f>D169</f>
        <v/>
      </c>
      <c r="H169" s="23" t="str">
        <f>D169</f>
        <v/>
      </c>
      <c r="I169" s="29" t="str">
        <f>D169</f>
        <v/>
      </c>
      <c r="J169" s="23" t="str">
        <f>C169</f>
        <v/>
      </c>
      <c r="K169" s="32" t="s">
        <v>199</v>
      </c>
      <c r="L169" s="255" t="str">
        <f>IFERROR(IF($C$174="N/A","Special Design Provisions for Wind and Seismic does not provide a Ga for the Sheathing and Nail Type combination entered. Please review inputs or use the Four Term Equation Deflection calculation.",""),"")</f>
        <v/>
      </c>
      <c r="M169" s="255"/>
      <c r="O169" s="204"/>
    </row>
    <row r="170" spans="1:15" x14ac:dyDescent="0.25">
      <c r="A170" s="204"/>
      <c r="B170" s="2" t="s">
        <v>200</v>
      </c>
      <c r="C170" s="28" t="str">
        <f>IF(C116="","",C116)</f>
        <v/>
      </c>
      <c r="D170" s="22" t="str">
        <f t="shared" ref="D170:J170" si="8">IF(D116="","",D116)</f>
        <v/>
      </c>
      <c r="E170" s="28" t="str">
        <f t="shared" si="8"/>
        <v/>
      </c>
      <c r="F170" s="22" t="str">
        <f t="shared" si="8"/>
        <v/>
      </c>
      <c r="G170" s="198" t="str">
        <f t="shared" si="8"/>
        <v/>
      </c>
      <c r="H170" s="23" t="str">
        <f t="shared" si="8"/>
        <v/>
      </c>
      <c r="I170" s="199" t="str">
        <f t="shared" si="8"/>
        <v/>
      </c>
      <c r="J170" s="23" t="str">
        <f t="shared" si="8"/>
        <v/>
      </c>
      <c r="L170" s="255"/>
      <c r="M170" s="255"/>
      <c r="O170" s="204"/>
    </row>
    <row r="171" spans="1:15" x14ac:dyDescent="0.25">
      <c r="A171" s="204"/>
      <c r="B171" s="2" t="s">
        <v>201</v>
      </c>
      <c r="C171" s="30" t="str">
        <f t="shared" ref="C171:J171" si="9">IF(C117="","",C117)</f>
        <v/>
      </c>
      <c r="D171" s="21" t="str">
        <f t="shared" si="9"/>
        <v/>
      </c>
      <c r="E171" s="30" t="str">
        <f t="shared" si="9"/>
        <v/>
      </c>
      <c r="F171" s="21" t="str">
        <f t="shared" si="9"/>
        <v/>
      </c>
      <c r="G171" s="198" t="str">
        <f t="shared" si="9"/>
        <v/>
      </c>
      <c r="H171" s="23" t="str">
        <f t="shared" si="9"/>
        <v/>
      </c>
      <c r="I171" s="199" t="str">
        <f t="shared" si="9"/>
        <v/>
      </c>
      <c r="J171" s="23" t="str">
        <f t="shared" si="9"/>
        <v/>
      </c>
      <c r="L171" s="255"/>
      <c r="M171" s="255"/>
      <c r="O171" s="204"/>
    </row>
    <row r="172" spans="1:15" ht="17.25" x14ac:dyDescent="0.25">
      <c r="A172" s="204"/>
      <c r="B172" s="2" t="s">
        <v>203</v>
      </c>
      <c r="C172" s="30" t="str">
        <f t="shared" ref="C172:J172" si="10">IF(C118="","",C118)</f>
        <v/>
      </c>
      <c r="D172" s="21" t="str">
        <f t="shared" si="10"/>
        <v/>
      </c>
      <c r="E172" s="30" t="str">
        <f t="shared" si="10"/>
        <v/>
      </c>
      <c r="F172" s="21" t="str">
        <f t="shared" si="10"/>
        <v/>
      </c>
      <c r="G172" s="198" t="str">
        <f t="shared" si="10"/>
        <v/>
      </c>
      <c r="H172" s="23" t="str">
        <f t="shared" si="10"/>
        <v/>
      </c>
      <c r="I172" s="198" t="str">
        <f t="shared" si="10"/>
        <v/>
      </c>
      <c r="J172" s="23" t="str">
        <f t="shared" si="10"/>
        <v/>
      </c>
      <c r="K172" s="32" t="s">
        <v>204</v>
      </c>
      <c r="L172" s="255"/>
      <c r="M172" s="255"/>
      <c r="O172" s="204"/>
    </row>
    <row r="173" spans="1:15" ht="17.25" x14ac:dyDescent="0.25">
      <c r="A173" s="204"/>
      <c r="B173" s="2" t="s">
        <v>205</v>
      </c>
      <c r="C173" s="30" t="str">
        <f t="shared" ref="C173:J173" si="11">IF(C119="","",C119)</f>
        <v/>
      </c>
      <c r="D173" s="21" t="str">
        <f t="shared" si="11"/>
        <v/>
      </c>
      <c r="E173" s="30" t="str">
        <f t="shared" si="11"/>
        <v/>
      </c>
      <c r="F173" s="21" t="str">
        <f t="shared" si="11"/>
        <v/>
      </c>
      <c r="G173" s="30" t="str">
        <f t="shared" si="11"/>
        <v/>
      </c>
      <c r="H173" s="21" t="str">
        <f t="shared" si="11"/>
        <v/>
      </c>
      <c r="I173" s="30" t="str">
        <f t="shared" si="11"/>
        <v/>
      </c>
      <c r="J173" s="21" t="str">
        <f t="shared" si="11"/>
        <v/>
      </c>
      <c r="K173" s="32" t="s">
        <v>204</v>
      </c>
      <c r="L173" s="255"/>
      <c r="M173" s="255"/>
      <c r="O173" s="204"/>
    </row>
    <row r="174" spans="1:15" ht="18" x14ac:dyDescent="0.35">
      <c r="A174" s="204"/>
      <c r="B174" s="2" t="s">
        <v>233</v>
      </c>
      <c r="C174" s="31" t="str">
        <f>IF($D$106&lt;&gt;"",$D$106,IF(OR(D101="",D102="",L101="",L104=""),"",IF($D$106="Other Material",0,(VLOOKUP(D101&amp;D102&amp;L101&amp;L104,Table50,3,FALSE)))))</f>
        <v/>
      </c>
      <c r="D174" s="24" t="str">
        <f>C174</f>
        <v/>
      </c>
      <c r="E174" s="31" t="str">
        <f>C174</f>
        <v/>
      </c>
      <c r="F174" s="24" t="str">
        <f>C174</f>
        <v/>
      </c>
      <c r="G174" s="31" t="str">
        <f>C174</f>
        <v/>
      </c>
      <c r="H174" s="24" t="str">
        <f>C174</f>
        <v/>
      </c>
      <c r="I174" s="31" t="str">
        <f>C174</f>
        <v/>
      </c>
      <c r="J174" s="24" t="str">
        <f>C174</f>
        <v/>
      </c>
      <c r="K174" s="32" t="s">
        <v>234</v>
      </c>
      <c r="L174" s="255"/>
      <c r="M174" s="255"/>
      <c r="O174" s="204"/>
    </row>
    <row r="175" spans="1:15" x14ac:dyDescent="0.25">
      <c r="A175" s="204"/>
      <c r="B175" s="2" t="s">
        <v>210</v>
      </c>
      <c r="C175" s="29" t="str">
        <f>IF(C25="","",C25)</f>
        <v/>
      </c>
      <c r="D175" s="23" t="str">
        <f>C175</f>
        <v/>
      </c>
      <c r="E175" s="29" t="str">
        <f>IF(C26="","",C26)</f>
        <v/>
      </c>
      <c r="F175" s="23" t="str">
        <f>E175</f>
        <v/>
      </c>
      <c r="G175" s="29" t="str">
        <f>IF(C27="","",C27)</f>
        <v/>
      </c>
      <c r="H175" s="23" t="str">
        <f>G175</f>
        <v/>
      </c>
      <c r="I175" s="29" t="str">
        <f>IF(C28="","",C28)</f>
        <v/>
      </c>
      <c r="J175" s="23" t="str">
        <f>I175</f>
        <v/>
      </c>
      <c r="K175" s="32" t="s">
        <v>199</v>
      </c>
      <c r="L175" s="255"/>
      <c r="M175" s="255"/>
      <c r="O175" s="204"/>
    </row>
    <row r="176" spans="1:15" x14ac:dyDescent="0.25">
      <c r="A176" s="204"/>
      <c r="B176" s="2" t="s">
        <v>184</v>
      </c>
      <c r="C176" s="30" t="str">
        <f>IF(L105="","",L105)</f>
        <v/>
      </c>
      <c r="D176" s="21" t="str">
        <f>C176</f>
        <v/>
      </c>
      <c r="E176" s="30" t="str">
        <f>P104</f>
        <v/>
      </c>
      <c r="F176" s="21" t="str">
        <f>E176</f>
        <v/>
      </c>
      <c r="G176" s="30" t="str">
        <f>Q104</f>
        <v/>
      </c>
      <c r="H176" s="21" t="str">
        <f>G176</f>
        <v/>
      </c>
      <c r="I176" s="30" t="str">
        <f>M105</f>
        <v/>
      </c>
      <c r="J176" s="21" t="str">
        <f>I176</f>
        <v/>
      </c>
      <c r="K176" s="32" t="s">
        <v>164</v>
      </c>
      <c r="L176" s="255"/>
      <c r="M176" s="255"/>
      <c r="O176" s="204"/>
    </row>
    <row r="177" spans="1:15" x14ac:dyDescent="0.25">
      <c r="A177" s="204"/>
      <c r="B177" s="2" t="s">
        <v>211</v>
      </c>
      <c r="C177" s="50" t="str">
        <f>IF(L106="","",L106)</f>
        <v/>
      </c>
      <c r="D177" s="27" t="str">
        <f>C177</f>
        <v/>
      </c>
      <c r="E177" s="50" t="str">
        <f>P105</f>
        <v/>
      </c>
      <c r="F177" s="27" t="str">
        <f>E177</f>
        <v/>
      </c>
      <c r="G177" s="50" t="str">
        <f>Q105</f>
        <v/>
      </c>
      <c r="H177" s="27" t="str">
        <f>G177</f>
        <v/>
      </c>
      <c r="I177" s="50" t="str">
        <f>M106</f>
        <v/>
      </c>
      <c r="J177" s="27" t="str">
        <f>I177</f>
        <v/>
      </c>
      <c r="K177" s="32" t="s">
        <v>182</v>
      </c>
      <c r="L177" s="255"/>
      <c r="M177" s="255"/>
      <c r="O177" s="204"/>
    </row>
    <row r="178" spans="1:15" x14ac:dyDescent="0.25">
      <c r="A178" s="204"/>
      <c r="O178" s="204"/>
    </row>
    <row r="179" spans="1:15" ht="15.75" thickBot="1" x14ac:dyDescent="0.3">
      <c r="A179" s="204"/>
      <c r="C179" s="4" t="s">
        <v>212</v>
      </c>
      <c r="O179" s="204"/>
    </row>
    <row r="180" spans="1:15" x14ac:dyDescent="0.25">
      <c r="A180" s="204"/>
      <c r="C180" s="252" t="s">
        <v>213</v>
      </c>
      <c r="D180" s="253"/>
      <c r="E180" s="254"/>
      <c r="F180" s="252" t="s">
        <v>214</v>
      </c>
      <c r="G180" s="253"/>
      <c r="H180" s="254"/>
      <c r="O180" s="204"/>
    </row>
    <row r="181" spans="1:15" x14ac:dyDescent="0.25">
      <c r="A181" s="204"/>
      <c r="C181" s="18" t="s">
        <v>215</v>
      </c>
      <c r="D181" s="17" t="s">
        <v>216</v>
      </c>
      <c r="E181" s="17" t="s">
        <v>217</v>
      </c>
      <c r="F181" s="18" t="s">
        <v>215</v>
      </c>
      <c r="G181" s="17" t="s">
        <v>216</v>
      </c>
      <c r="H181" s="16" t="s">
        <v>217</v>
      </c>
      <c r="O181" s="204"/>
    </row>
    <row r="182" spans="1:15" x14ac:dyDescent="0.25">
      <c r="A182" s="204"/>
      <c r="C182" s="14" t="s">
        <v>219</v>
      </c>
      <c r="D182" s="13" t="s">
        <v>220</v>
      </c>
      <c r="E182" s="13" t="s">
        <v>221</v>
      </c>
      <c r="F182" s="14" t="s">
        <v>219</v>
      </c>
      <c r="G182" s="13" t="s">
        <v>220</v>
      </c>
      <c r="H182" s="12" t="s">
        <v>221</v>
      </c>
      <c r="O182" s="204"/>
    </row>
    <row r="183" spans="1:15" ht="15.75" thickBot="1" x14ac:dyDescent="0.3">
      <c r="A183" s="204"/>
      <c r="C183" s="11" t="str">
        <f>IFERROR(8*C167*C169^3/(C168*C173*C175),"")</f>
        <v/>
      </c>
      <c r="D183" s="10" t="str">
        <f>IFERROR(C167*C169/(C174*1000),"")</f>
        <v/>
      </c>
      <c r="E183" s="9" t="str">
        <f>IFERROR(C177*C167*C169/C176*(C169/C175),"")</f>
        <v/>
      </c>
      <c r="F183" s="11" t="str">
        <f>IFERROR(8*D167*D169^3/(D168*D173*D175),"")</f>
        <v/>
      </c>
      <c r="G183" s="10" t="str">
        <f>IFERROR(D167*D169/(D174*1000),"")</f>
        <v/>
      </c>
      <c r="H183" s="9" t="str">
        <f>IFERROR(D177*D167*D169/D176*(D169/D175),"")</f>
        <v/>
      </c>
      <c r="O183" s="204"/>
    </row>
    <row r="184" spans="1:15" ht="15.75" thickBot="1" x14ac:dyDescent="0.3">
      <c r="A184" s="204"/>
      <c r="C184" s="8"/>
      <c r="D184" s="54" t="s">
        <v>224</v>
      </c>
      <c r="E184" s="5" t="str">
        <f>IF(OR(C183="",D183="",E183=""),"",SUM(C183:E183))</f>
        <v/>
      </c>
      <c r="F184" s="7"/>
      <c r="G184" s="54" t="s">
        <v>224</v>
      </c>
      <c r="H184" s="5" t="str">
        <f>IF(OR(F183="",G183="",H183=""),"",SUM(F183:H183))</f>
        <v/>
      </c>
      <c r="O184" s="204"/>
    </row>
    <row r="185" spans="1:15" x14ac:dyDescent="0.25">
      <c r="A185" s="204"/>
      <c r="C185" s="252" t="s">
        <v>225</v>
      </c>
      <c r="D185" s="253"/>
      <c r="E185" s="254"/>
      <c r="F185" s="252" t="s">
        <v>226</v>
      </c>
      <c r="G185" s="253"/>
      <c r="H185" s="254"/>
      <c r="O185" s="204"/>
    </row>
    <row r="186" spans="1:15" x14ac:dyDescent="0.25">
      <c r="A186" s="204"/>
      <c r="C186" s="18" t="s">
        <v>215</v>
      </c>
      <c r="D186" s="17" t="s">
        <v>216</v>
      </c>
      <c r="E186" s="17" t="s">
        <v>217</v>
      </c>
      <c r="F186" s="18" t="s">
        <v>215</v>
      </c>
      <c r="G186" s="17" t="s">
        <v>216</v>
      </c>
      <c r="H186" s="16" t="s">
        <v>217</v>
      </c>
      <c r="O186" s="204"/>
    </row>
    <row r="187" spans="1:15" ht="15.75" thickBot="1" x14ac:dyDescent="0.3">
      <c r="A187" s="204"/>
      <c r="C187" s="14" t="s">
        <v>219</v>
      </c>
      <c r="D187" s="13" t="s">
        <v>220</v>
      </c>
      <c r="E187" s="13" t="s">
        <v>221</v>
      </c>
      <c r="F187" s="14" t="s">
        <v>219</v>
      </c>
      <c r="G187" s="13" t="s">
        <v>220</v>
      </c>
      <c r="H187" s="12" t="s">
        <v>221</v>
      </c>
      <c r="O187" s="204"/>
    </row>
    <row r="188" spans="1:15" ht="15.75" thickBot="1" x14ac:dyDescent="0.3">
      <c r="A188" s="204"/>
      <c r="C188" s="11" t="str">
        <f>IFERROR(8*E167*E169^3/(E168*E173*E175),"")</f>
        <v/>
      </c>
      <c r="D188" s="10" t="str">
        <f>IFERROR(E167*E169/(E174*1000),"")</f>
        <v/>
      </c>
      <c r="E188" s="9" t="str">
        <f>IFERROR(E177*E167*E169/E176*(E169/E175),"")</f>
        <v/>
      </c>
      <c r="F188" s="11" t="str">
        <f>IFERROR(8*F167*F169^3/(F168*F173*F175),"")</f>
        <v/>
      </c>
      <c r="G188" s="10" t="str">
        <f>IFERROR(F167*F169/(F174*1000),"")</f>
        <v/>
      </c>
      <c r="H188" s="9" t="str">
        <f>IFERROR(F177*F167*F169/F176*(F169/F175),"")</f>
        <v/>
      </c>
      <c r="J188" s="55" t="s">
        <v>227</v>
      </c>
      <c r="O188" s="204"/>
    </row>
    <row r="189" spans="1:15" ht="15.75" thickBot="1" x14ac:dyDescent="0.3">
      <c r="A189" s="204"/>
      <c r="C189" s="8"/>
      <c r="D189" s="54" t="s">
        <v>224</v>
      </c>
      <c r="E189" s="5" t="str">
        <f>IF(OR(C188="",D188="",E188=""),"",SUM(C188:E188))</f>
        <v/>
      </c>
      <c r="F189" s="7"/>
      <c r="G189" s="54" t="s">
        <v>224</v>
      </c>
      <c r="H189" s="5" t="str">
        <f>IF(OR(F188="",G188="",H188=""),"",SUM(F188:H188))</f>
        <v/>
      </c>
      <c r="J189" s="56" t="s">
        <v>228</v>
      </c>
      <c r="O189" s="204"/>
    </row>
    <row r="190" spans="1:15" x14ac:dyDescent="0.25">
      <c r="A190" s="204"/>
      <c r="C190" s="252" t="s">
        <v>229</v>
      </c>
      <c r="D190" s="253"/>
      <c r="E190" s="254"/>
      <c r="F190" s="252" t="s">
        <v>230</v>
      </c>
      <c r="G190" s="253"/>
      <c r="H190" s="254"/>
      <c r="J190" s="57" t="str">
        <f>IF(H184="","",AVERAGE(E184,H184,E189,H189,E194,H194,E199,H199))</f>
        <v/>
      </c>
      <c r="K190" t="s">
        <v>182</v>
      </c>
      <c r="O190" s="204"/>
    </row>
    <row r="191" spans="1:15" ht="15.75" thickBot="1" x14ac:dyDescent="0.3">
      <c r="A191" s="204"/>
      <c r="C191" s="18" t="s">
        <v>215</v>
      </c>
      <c r="D191" s="17" t="s">
        <v>216</v>
      </c>
      <c r="E191" s="17" t="s">
        <v>217</v>
      </c>
      <c r="F191" s="18" t="s">
        <v>215</v>
      </c>
      <c r="G191" s="17" t="s">
        <v>216</v>
      </c>
      <c r="H191" s="16" t="s">
        <v>217</v>
      </c>
      <c r="J191" s="58" t="str">
        <f>IFERROR(IF(H106="",1,H106)*J190/(C169*12),"")</f>
        <v/>
      </c>
      <c r="K191" t="s">
        <v>231</v>
      </c>
      <c r="L191" s="15"/>
      <c r="O191" s="204"/>
    </row>
    <row r="192" spans="1:15" x14ac:dyDescent="0.25">
      <c r="A192" s="204"/>
      <c r="C192" s="14" t="s">
        <v>219</v>
      </c>
      <c r="D192" s="13" t="s">
        <v>220</v>
      </c>
      <c r="E192" s="13" t="s">
        <v>221</v>
      </c>
      <c r="F192" s="14" t="s">
        <v>219</v>
      </c>
      <c r="G192" s="13" t="s">
        <v>220</v>
      </c>
      <c r="H192" s="12" t="s">
        <v>221</v>
      </c>
      <c r="L192" s="15"/>
      <c r="O192" s="204"/>
    </row>
    <row r="193" spans="1:15" ht="15.75" thickBot="1" x14ac:dyDescent="0.3">
      <c r="A193" s="204"/>
      <c r="C193" s="11" t="str">
        <f>IFERROR(8*G167*G169^3/(G168*G173*G175),"")</f>
        <v/>
      </c>
      <c r="D193" s="10" t="str">
        <f>IFERROR(G167*G169/(G174*1000),"")</f>
        <v/>
      </c>
      <c r="E193" s="9" t="str">
        <f>IFERROR(G177*G167*G169/G176*(G169/G175),"")</f>
        <v/>
      </c>
      <c r="F193" s="11" t="str">
        <f>IFERROR(8*H167*H169^3/(H168*H173*H175),"")</f>
        <v/>
      </c>
      <c r="G193" s="10" t="str">
        <f>IFERROR(H167*H169/(H174*1000),"")</f>
        <v/>
      </c>
      <c r="H193" s="9" t="str">
        <f>IFERROR(H177*H167*H169/H176*(H169/H175),"")</f>
        <v/>
      </c>
      <c r="J193" s="47"/>
      <c r="K193" s="82"/>
      <c r="L193" s="82"/>
      <c r="M193" s="82"/>
      <c r="O193" s="204"/>
    </row>
    <row r="194" spans="1:15" ht="15.75" thickBot="1" x14ac:dyDescent="0.3">
      <c r="A194" s="204"/>
      <c r="C194" s="8"/>
      <c r="D194" s="54" t="s">
        <v>224</v>
      </c>
      <c r="E194" s="5" t="str">
        <f>IF(OR(C193="",D193="",E193=""),"",SUM(C193:E193))</f>
        <v/>
      </c>
      <c r="F194" s="7"/>
      <c r="G194" s="54" t="s">
        <v>224</v>
      </c>
      <c r="H194" s="5" t="str">
        <f>IF(OR(F193="",G193="",H193=""),"",SUM(F193:H193))</f>
        <v/>
      </c>
      <c r="K194" s="82"/>
      <c r="L194" s="82"/>
      <c r="M194" s="82"/>
      <c r="O194" s="204"/>
    </row>
    <row r="195" spans="1:15" x14ac:dyDescent="0.25">
      <c r="A195" s="204"/>
      <c r="C195" s="252" t="s">
        <v>283</v>
      </c>
      <c r="D195" s="253"/>
      <c r="E195" s="254"/>
      <c r="F195" s="252" t="s">
        <v>284</v>
      </c>
      <c r="G195" s="253"/>
      <c r="H195" s="254"/>
      <c r="O195" s="204"/>
    </row>
    <row r="196" spans="1:15" x14ac:dyDescent="0.25">
      <c r="A196" s="204"/>
      <c r="C196" s="18" t="s">
        <v>215</v>
      </c>
      <c r="D196" s="17" t="s">
        <v>216</v>
      </c>
      <c r="E196" s="17" t="s">
        <v>217</v>
      </c>
      <c r="F196" s="18" t="s">
        <v>215</v>
      </c>
      <c r="G196" s="17" t="s">
        <v>216</v>
      </c>
      <c r="H196" s="16" t="s">
        <v>217</v>
      </c>
      <c r="O196" s="204"/>
    </row>
    <row r="197" spans="1:15" x14ac:dyDescent="0.25">
      <c r="A197" s="204"/>
      <c r="C197" s="14" t="s">
        <v>219</v>
      </c>
      <c r="D197" s="13" t="s">
        <v>220</v>
      </c>
      <c r="E197" s="13" t="s">
        <v>221</v>
      </c>
      <c r="F197" s="14" t="s">
        <v>219</v>
      </c>
      <c r="G197" s="13" t="s">
        <v>220</v>
      </c>
      <c r="H197" s="12" t="s">
        <v>221</v>
      </c>
      <c r="O197" s="204"/>
    </row>
    <row r="198" spans="1:15" ht="15.75" thickBot="1" x14ac:dyDescent="0.3">
      <c r="A198" s="204"/>
      <c r="C198" s="11" t="str">
        <f>IFERROR(8*I167*I169^3/(I168*I173*I175),"")</f>
        <v/>
      </c>
      <c r="D198" s="10" t="str">
        <f>IFERROR(I167*I169/(I174*1000),"")</f>
        <v/>
      </c>
      <c r="E198" s="9" t="str">
        <f>IFERROR(I177*I167*I169/I176*(I169/I175),"")</f>
        <v/>
      </c>
      <c r="F198" s="11" t="str">
        <f>IFERROR(8*J167*J169^3/(J168*J173*J175),"")</f>
        <v/>
      </c>
      <c r="G198" s="10" t="str">
        <f>IFERROR(J167*J169/(J174*1000),"")</f>
        <v/>
      </c>
      <c r="H198" s="9" t="str">
        <f>IFERROR(J177*J167*J169/J176*(J169/J175),"")</f>
        <v/>
      </c>
      <c r="O198" s="204"/>
    </row>
    <row r="199" spans="1:15" ht="15.75" thickBot="1" x14ac:dyDescent="0.3">
      <c r="A199" s="204"/>
      <c r="C199" s="8"/>
      <c r="D199" s="54" t="s">
        <v>224</v>
      </c>
      <c r="E199" s="5" t="str">
        <f>IF(OR(C198="",D198="",E198=""),"",SUM(C198:E198))</f>
        <v/>
      </c>
      <c r="F199" s="7"/>
      <c r="G199" s="54" t="s">
        <v>224</v>
      </c>
      <c r="H199" s="5" t="str">
        <f>IF(OR(F198="",G198="",H198=""),"",SUM(F198:H198))</f>
        <v/>
      </c>
      <c r="O199" s="204"/>
    </row>
    <row r="200" spans="1:15" x14ac:dyDescent="0.25">
      <c r="A200" s="204"/>
      <c r="O200" s="204"/>
    </row>
    <row r="201" spans="1:15" ht="15" customHeight="1" x14ac:dyDescent="0.25">
      <c r="A201" s="204"/>
      <c r="B201" s="238" t="s">
        <v>235</v>
      </c>
      <c r="C201" s="239"/>
      <c r="D201" s="239"/>
      <c r="E201" s="239"/>
      <c r="F201" s="239"/>
      <c r="G201" s="239"/>
      <c r="H201" s="239"/>
      <c r="I201" s="239"/>
      <c r="J201" s="239"/>
      <c r="K201" s="239"/>
      <c r="L201" s="239"/>
      <c r="M201" s="239"/>
      <c r="N201" s="240"/>
      <c r="O201" s="204"/>
    </row>
    <row r="202" spans="1:15" ht="15" customHeight="1" x14ac:dyDescent="0.25">
      <c r="A202" s="106"/>
      <c r="B202" s="107"/>
      <c r="C202" s="107"/>
      <c r="D202" s="107"/>
      <c r="E202" s="107"/>
      <c r="F202" s="107"/>
      <c r="G202" s="107"/>
      <c r="H202" s="107"/>
      <c r="I202" s="107"/>
      <c r="J202" s="107"/>
      <c r="K202" s="107"/>
      <c r="L202" s="107"/>
      <c r="M202" s="107"/>
      <c r="N202" s="107"/>
      <c r="O202" s="106"/>
    </row>
    <row r="203" spans="1:15" ht="15.75" thickBot="1" x14ac:dyDescent="0.3">
      <c r="A203" s="98"/>
      <c r="B203" s="208" t="s">
        <v>76</v>
      </c>
      <c r="C203" s="208"/>
      <c r="D203" s="208"/>
      <c r="E203" s="208"/>
      <c r="F203" s="208"/>
      <c r="G203" s="208"/>
      <c r="H203" s="208"/>
      <c r="I203" s="208"/>
      <c r="J203" s="208"/>
      <c r="K203" s="208"/>
      <c r="L203" s="208"/>
      <c r="M203" s="208"/>
      <c r="N203" s="208"/>
      <c r="O203" s="98"/>
    </row>
    <row r="204" spans="1:15" x14ac:dyDescent="0.25">
      <c r="A204" s="98"/>
      <c r="B204" s="212" t="s">
        <v>286</v>
      </c>
      <c r="C204" s="212"/>
      <c r="D204" s="212"/>
      <c r="E204" s="212"/>
      <c r="F204" s="212"/>
      <c r="G204" s="212"/>
      <c r="H204" s="212"/>
      <c r="I204" s="212"/>
      <c r="J204" s="212"/>
      <c r="K204" s="212"/>
      <c r="L204" s="212"/>
      <c r="M204" s="212"/>
      <c r="N204" s="212"/>
      <c r="O204" s="98"/>
    </row>
    <row r="205" spans="1:15" ht="15" customHeight="1" x14ac:dyDescent="0.25">
      <c r="A205" s="98"/>
      <c r="B205" s="251"/>
      <c r="C205" s="251"/>
      <c r="D205" s="251"/>
      <c r="E205" s="251"/>
      <c r="F205" s="251"/>
      <c r="G205" s="251"/>
      <c r="H205" s="251"/>
      <c r="I205" s="251"/>
      <c r="J205" s="251"/>
      <c r="K205" s="251"/>
      <c r="L205" s="251"/>
      <c r="M205" s="251"/>
      <c r="N205" s="251"/>
      <c r="O205" s="98"/>
    </row>
    <row r="206" spans="1:15" x14ac:dyDescent="0.25">
      <c r="A206" s="98"/>
      <c r="B206" s="251"/>
      <c r="C206" s="251"/>
      <c r="D206" s="251"/>
      <c r="E206" s="251"/>
      <c r="F206" s="251"/>
      <c r="G206" s="251"/>
      <c r="H206" s="251"/>
      <c r="I206" s="251"/>
      <c r="J206" s="251"/>
      <c r="K206" s="251"/>
      <c r="L206" s="251"/>
      <c r="M206" s="251"/>
      <c r="N206" s="251"/>
      <c r="O206" s="98"/>
    </row>
    <row r="207" spans="1:15" x14ac:dyDescent="0.25">
      <c r="A207" s="98"/>
      <c r="B207" s="251"/>
      <c r="C207" s="251"/>
      <c r="D207" s="251"/>
      <c r="E207" s="251"/>
      <c r="F207" s="251"/>
      <c r="G207" s="251"/>
      <c r="H207" s="251"/>
      <c r="I207" s="251"/>
      <c r="J207" s="251"/>
      <c r="K207" s="251"/>
      <c r="L207" s="251"/>
      <c r="M207" s="251"/>
      <c r="N207" s="251"/>
      <c r="O207" s="98"/>
    </row>
    <row r="208" spans="1:15" x14ac:dyDescent="0.25">
      <c r="A208" s="98"/>
      <c r="B208" s="251"/>
      <c r="C208" s="251"/>
      <c r="D208" s="251"/>
      <c r="E208" s="251"/>
      <c r="F208" s="251"/>
      <c r="G208" s="251"/>
      <c r="H208" s="251"/>
      <c r="I208" s="251"/>
      <c r="J208" s="251"/>
      <c r="K208" s="251"/>
      <c r="L208" s="251"/>
      <c r="M208" s="251"/>
      <c r="N208" s="251"/>
      <c r="O208" s="98"/>
    </row>
    <row r="209" spans="1:15" x14ac:dyDescent="0.25">
      <c r="A209" s="98"/>
      <c r="B209" s="207"/>
      <c r="C209" s="207"/>
      <c r="D209" s="207"/>
      <c r="E209" s="207"/>
      <c r="F209" s="207"/>
      <c r="G209" s="207"/>
      <c r="H209" s="207"/>
      <c r="I209" s="207"/>
      <c r="J209" s="207"/>
      <c r="K209" s="207"/>
      <c r="L209" s="207"/>
      <c r="M209" s="207"/>
      <c r="N209" s="207"/>
      <c r="O209" s="98"/>
    </row>
    <row r="210" spans="1:15" x14ac:dyDescent="0.25">
      <c r="A210" s="98"/>
      <c r="B210" s="207"/>
      <c r="C210" s="207"/>
      <c r="D210" s="207"/>
      <c r="E210" s="207"/>
      <c r="F210" s="207"/>
      <c r="G210" s="207"/>
      <c r="H210" s="207"/>
      <c r="I210" s="207"/>
      <c r="J210" s="207"/>
      <c r="K210" s="207"/>
      <c r="L210" s="207"/>
      <c r="M210" s="207"/>
      <c r="N210" s="207"/>
      <c r="O210" s="98"/>
    </row>
    <row r="211" spans="1:15" x14ac:dyDescent="0.25">
      <c r="A211" s="98"/>
      <c r="B211" s="207"/>
      <c r="C211" s="207"/>
      <c r="D211" s="207"/>
      <c r="E211" s="207"/>
      <c r="F211" s="207"/>
      <c r="G211" s="207"/>
      <c r="H211" s="207"/>
      <c r="I211" s="207"/>
      <c r="J211" s="207"/>
      <c r="K211" s="207"/>
      <c r="L211" s="207"/>
      <c r="M211" s="207"/>
      <c r="N211" s="207"/>
      <c r="O211" s="98"/>
    </row>
    <row r="212" spans="1:15" x14ac:dyDescent="0.25">
      <c r="A212" s="98"/>
      <c r="B212" s="207"/>
      <c r="C212" s="207"/>
      <c r="D212" s="207"/>
      <c r="E212" s="207"/>
      <c r="F212" s="207"/>
      <c r="G212" s="207"/>
      <c r="H212" s="207"/>
      <c r="I212" s="207"/>
      <c r="J212" s="207"/>
      <c r="K212" s="207"/>
      <c r="L212" s="207"/>
      <c r="M212" s="207"/>
      <c r="N212" s="207"/>
      <c r="O212" s="98"/>
    </row>
    <row r="213" spans="1:15" x14ac:dyDescent="0.25">
      <c r="A213" s="98"/>
      <c r="B213" s="207"/>
      <c r="C213" s="207"/>
      <c r="D213" s="207"/>
      <c r="E213" s="207"/>
      <c r="F213" s="207"/>
      <c r="G213" s="207"/>
      <c r="H213" s="207"/>
      <c r="I213" s="207"/>
      <c r="J213" s="207"/>
      <c r="K213" s="207"/>
      <c r="L213" s="207"/>
      <c r="M213" s="207"/>
      <c r="N213" s="207"/>
      <c r="O213" s="98"/>
    </row>
    <row r="214" spans="1:15" x14ac:dyDescent="0.25">
      <c r="A214" s="98"/>
      <c r="B214" s="207"/>
      <c r="C214" s="207"/>
      <c r="D214" s="207"/>
      <c r="E214" s="207"/>
      <c r="F214" s="207"/>
      <c r="G214" s="207"/>
      <c r="H214" s="207"/>
      <c r="I214" s="207"/>
      <c r="J214" s="207"/>
      <c r="K214" s="207"/>
      <c r="L214" s="207"/>
      <c r="M214" s="207"/>
      <c r="N214" s="207"/>
      <c r="O214" s="98"/>
    </row>
    <row r="215" spans="1:15" x14ac:dyDescent="0.25">
      <c r="A215" s="98"/>
      <c r="B215" s="207"/>
      <c r="C215" s="207"/>
      <c r="D215" s="207"/>
      <c r="E215" s="207"/>
      <c r="F215" s="207"/>
      <c r="G215" s="207"/>
      <c r="H215" s="207"/>
      <c r="I215" s="207"/>
      <c r="J215" s="207"/>
      <c r="K215" s="207"/>
      <c r="L215" s="207"/>
      <c r="M215" s="207"/>
      <c r="N215" s="207"/>
      <c r="O215" s="98"/>
    </row>
    <row r="216" spans="1:15" x14ac:dyDescent="0.25">
      <c r="A216" s="98"/>
      <c r="B216" s="207"/>
      <c r="C216" s="207"/>
      <c r="D216" s="207"/>
      <c r="E216" s="207"/>
      <c r="F216" s="207"/>
      <c r="G216" s="207"/>
      <c r="H216" s="207"/>
      <c r="I216" s="207"/>
      <c r="J216" s="207"/>
      <c r="K216" s="207"/>
      <c r="L216" s="207"/>
      <c r="M216" s="207"/>
      <c r="N216" s="207"/>
      <c r="O216" s="98"/>
    </row>
    <row r="217" spans="1:15" x14ac:dyDescent="0.25">
      <c r="A217" s="98"/>
      <c r="B217" s="207"/>
      <c r="C217" s="207"/>
      <c r="D217" s="207"/>
      <c r="E217" s="207"/>
      <c r="F217" s="207"/>
      <c r="G217" s="207"/>
      <c r="H217" s="207"/>
      <c r="I217" s="207"/>
      <c r="J217" s="207"/>
      <c r="K217" s="207"/>
      <c r="L217" s="207"/>
      <c r="M217" s="207"/>
      <c r="N217" s="207"/>
      <c r="O217" s="98"/>
    </row>
    <row r="218" spans="1:15" x14ac:dyDescent="0.25">
      <c r="A218" s="98"/>
      <c r="B218" s="207"/>
      <c r="C218" s="207"/>
      <c r="D218" s="207"/>
      <c r="E218" s="207"/>
      <c r="F218" s="207"/>
      <c r="G218" s="207"/>
      <c r="H218" s="207"/>
      <c r="I218" s="207"/>
      <c r="J218" s="207"/>
      <c r="K218" s="207"/>
      <c r="L218" s="207"/>
      <c r="M218" s="207"/>
      <c r="N218" s="207"/>
      <c r="O218" s="98"/>
    </row>
    <row r="219" spans="1:15" x14ac:dyDescent="0.25">
      <c r="A219" s="98"/>
      <c r="B219" s="207"/>
      <c r="C219" s="207"/>
      <c r="D219" s="207"/>
      <c r="E219" s="207"/>
      <c r="F219" s="207"/>
      <c r="G219" s="207"/>
      <c r="H219" s="207"/>
      <c r="I219" s="207"/>
      <c r="J219" s="207"/>
      <c r="K219" s="207"/>
      <c r="L219" s="207"/>
      <c r="M219" s="207"/>
      <c r="N219" s="207"/>
      <c r="O219" s="98"/>
    </row>
    <row r="220" spans="1:15" x14ac:dyDescent="0.25">
      <c r="A220" s="98"/>
      <c r="B220" s="207"/>
      <c r="C220" s="207"/>
      <c r="D220" s="207"/>
      <c r="E220" s="207"/>
      <c r="F220" s="207"/>
      <c r="G220" s="207"/>
      <c r="H220" s="207"/>
      <c r="I220" s="207"/>
      <c r="J220" s="207"/>
      <c r="K220" s="207"/>
      <c r="L220" s="207"/>
      <c r="M220" s="207"/>
      <c r="N220" s="207"/>
      <c r="O220" s="98"/>
    </row>
    <row r="221" spans="1:15" x14ac:dyDescent="0.25">
      <c r="A221" s="98"/>
      <c r="B221" s="207"/>
      <c r="C221" s="207"/>
      <c r="D221" s="207"/>
      <c r="E221" s="207"/>
      <c r="F221" s="207"/>
      <c r="G221" s="207"/>
      <c r="H221" s="207"/>
      <c r="I221" s="207"/>
      <c r="J221" s="207"/>
      <c r="K221" s="207"/>
      <c r="L221" s="207"/>
      <c r="M221" s="207"/>
      <c r="N221" s="207"/>
      <c r="O221" s="98"/>
    </row>
    <row r="222" spans="1:15" x14ac:dyDescent="0.25">
      <c r="A222" s="98"/>
      <c r="B222" s="207"/>
      <c r="C222" s="207"/>
      <c r="D222" s="207"/>
      <c r="E222" s="207"/>
      <c r="F222" s="207"/>
      <c r="G222" s="207"/>
      <c r="H222" s="207"/>
      <c r="I222" s="207"/>
      <c r="J222" s="207"/>
      <c r="K222" s="207"/>
      <c r="L222" s="207"/>
      <c r="M222" s="207"/>
      <c r="N222" s="207"/>
      <c r="O222" s="98"/>
    </row>
    <row r="223" spans="1:15" x14ac:dyDescent="0.25">
      <c r="A223" s="98"/>
      <c r="B223" s="207"/>
      <c r="C223" s="207"/>
      <c r="D223" s="207"/>
      <c r="E223" s="207"/>
      <c r="F223" s="207"/>
      <c r="G223" s="207"/>
      <c r="H223" s="207"/>
      <c r="I223" s="207"/>
      <c r="J223" s="207"/>
      <c r="K223" s="207"/>
      <c r="L223" s="207"/>
      <c r="M223" s="207"/>
      <c r="N223" s="207"/>
      <c r="O223" s="98"/>
    </row>
    <row r="224" spans="1:15" x14ac:dyDescent="0.25">
      <c r="A224" s="98"/>
      <c r="B224" s="207"/>
      <c r="C224" s="207"/>
      <c r="D224" s="207"/>
      <c r="E224" s="207"/>
      <c r="F224" s="207"/>
      <c r="G224" s="207"/>
      <c r="H224" s="207"/>
      <c r="I224" s="207"/>
      <c r="J224" s="207"/>
      <c r="K224" s="207"/>
      <c r="L224" s="207"/>
      <c r="M224" s="207"/>
      <c r="N224" s="207"/>
      <c r="O224" s="98"/>
    </row>
    <row r="225" spans="1:15" x14ac:dyDescent="0.25">
      <c r="A225" s="98"/>
      <c r="B225" s="207"/>
      <c r="C225" s="207"/>
      <c r="D225" s="207"/>
      <c r="E225" s="207"/>
      <c r="F225" s="207"/>
      <c r="G225" s="207"/>
      <c r="H225" s="207"/>
      <c r="I225" s="207"/>
      <c r="J225" s="207"/>
      <c r="K225" s="207"/>
      <c r="L225" s="207"/>
      <c r="M225" s="207"/>
      <c r="N225" s="207"/>
      <c r="O225" s="98"/>
    </row>
    <row r="226" spans="1:15" x14ac:dyDescent="0.25">
      <c r="A226" s="98"/>
      <c r="B226" s="207"/>
      <c r="C226" s="207"/>
      <c r="D226" s="207"/>
      <c r="E226" s="207"/>
      <c r="F226" s="207"/>
      <c r="G226" s="207"/>
      <c r="H226" s="207"/>
      <c r="I226" s="207"/>
      <c r="J226" s="207"/>
      <c r="K226" s="207"/>
      <c r="L226" s="207"/>
      <c r="M226" s="207"/>
      <c r="N226" s="207"/>
      <c r="O226" s="98"/>
    </row>
    <row r="227" spans="1:15" x14ac:dyDescent="0.25">
      <c r="A227" s="98"/>
      <c r="B227" s="207"/>
      <c r="C227" s="207"/>
      <c r="D227" s="207"/>
      <c r="E227" s="207"/>
      <c r="F227" s="207"/>
      <c r="G227" s="207"/>
      <c r="H227" s="207"/>
      <c r="I227" s="207"/>
      <c r="J227" s="207"/>
      <c r="K227" s="207"/>
      <c r="L227" s="207"/>
      <c r="M227" s="207"/>
      <c r="N227" s="207"/>
      <c r="O227" s="98"/>
    </row>
    <row r="228" spans="1:15" x14ac:dyDescent="0.25">
      <c r="A228" s="98"/>
      <c r="B228" s="207"/>
      <c r="C228" s="207"/>
      <c r="D228" s="207"/>
      <c r="E228" s="207"/>
      <c r="F228" s="207"/>
      <c r="G228" s="207"/>
      <c r="H228" s="207"/>
      <c r="I228" s="207"/>
      <c r="J228" s="207"/>
      <c r="K228" s="207"/>
      <c r="L228" s="207"/>
      <c r="M228" s="207"/>
      <c r="N228" s="207"/>
      <c r="O228" s="98"/>
    </row>
    <row r="229" spans="1:15" x14ac:dyDescent="0.25">
      <c r="A229" s="98"/>
      <c r="B229" s="207"/>
      <c r="C229" s="207"/>
      <c r="D229" s="207"/>
      <c r="E229" s="207"/>
      <c r="F229" s="207"/>
      <c r="G229" s="207"/>
      <c r="H229" s="207"/>
      <c r="I229" s="207"/>
      <c r="J229" s="207"/>
      <c r="K229" s="207"/>
      <c r="L229" s="207"/>
      <c r="M229" s="207"/>
      <c r="N229" s="207"/>
      <c r="O229" s="98"/>
    </row>
    <row r="230" spans="1:15" x14ac:dyDescent="0.25">
      <c r="A230" s="98"/>
      <c r="B230" s="207"/>
      <c r="C230" s="207"/>
      <c r="D230" s="207"/>
      <c r="E230" s="207"/>
      <c r="F230" s="207"/>
      <c r="G230" s="207"/>
      <c r="H230" s="207"/>
      <c r="I230" s="207"/>
      <c r="J230" s="207"/>
      <c r="K230" s="207"/>
      <c r="L230" s="207"/>
      <c r="M230" s="207"/>
      <c r="N230" s="207"/>
      <c r="O230" s="98"/>
    </row>
    <row r="231" spans="1:15" x14ac:dyDescent="0.25">
      <c r="A231" s="98"/>
      <c r="B231" s="207"/>
      <c r="C231" s="207"/>
      <c r="D231" s="207"/>
      <c r="E231" s="207"/>
      <c r="F231" s="207"/>
      <c r="G231" s="207"/>
      <c r="H231" s="207"/>
      <c r="I231" s="207"/>
      <c r="J231" s="207"/>
      <c r="K231" s="207"/>
      <c r="L231" s="207"/>
      <c r="M231" s="207"/>
      <c r="N231" s="207"/>
      <c r="O231" s="98"/>
    </row>
    <row r="232" spans="1:15" x14ac:dyDescent="0.25">
      <c r="A232" s="98"/>
      <c r="B232" s="207"/>
      <c r="C232" s="207"/>
      <c r="D232" s="207"/>
      <c r="E232" s="207"/>
      <c r="F232" s="207"/>
      <c r="G232" s="207"/>
      <c r="H232" s="207"/>
      <c r="I232" s="207"/>
      <c r="J232" s="207"/>
      <c r="K232" s="207"/>
      <c r="L232" s="207"/>
      <c r="M232" s="207"/>
      <c r="N232" s="207"/>
      <c r="O232" s="98"/>
    </row>
    <row r="233" spans="1:15" x14ac:dyDescent="0.25">
      <c r="A233" s="98"/>
      <c r="B233" s="207"/>
      <c r="C233" s="207"/>
      <c r="D233" s="207"/>
      <c r="E233" s="207"/>
      <c r="F233" s="207"/>
      <c r="G233" s="207"/>
      <c r="H233" s="207"/>
      <c r="I233" s="207"/>
      <c r="J233" s="207"/>
      <c r="K233" s="207"/>
      <c r="L233" s="207"/>
      <c r="M233" s="207"/>
      <c r="N233" s="207"/>
      <c r="O233" s="98"/>
    </row>
    <row r="234" spans="1:15" x14ac:dyDescent="0.25">
      <c r="A234" s="98"/>
      <c r="B234" s="207"/>
      <c r="C234" s="207"/>
      <c r="D234" s="207"/>
      <c r="E234" s="207"/>
      <c r="F234" s="207"/>
      <c r="G234" s="207"/>
      <c r="H234" s="207"/>
      <c r="I234" s="207"/>
      <c r="J234" s="207"/>
      <c r="K234" s="207"/>
      <c r="L234" s="207"/>
      <c r="M234" s="207"/>
      <c r="N234" s="207"/>
      <c r="O234" s="98"/>
    </row>
    <row r="235" spans="1:15" x14ac:dyDescent="0.25">
      <c r="A235" s="98"/>
      <c r="B235" s="207"/>
      <c r="C235" s="207"/>
      <c r="D235" s="207"/>
      <c r="E235" s="207"/>
      <c r="F235" s="207"/>
      <c r="G235" s="207"/>
      <c r="H235" s="207"/>
      <c r="I235" s="207"/>
      <c r="J235" s="207"/>
      <c r="K235" s="207"/>
      <c r="L235" s="207"/>
      <c r="M235" s="207"/>
      <c r="N235" s="207"/>
      <c r="O235" s="98"/>
    </row>
    <row r="236" spans="1:15" x14ac:dyDescent="0.25">
      <c r="A236" s="98"/>
      <c r="B236" s="207"/>
      <c r="C236" s="207"/>
      <c r="D236" s="207"/>
      <c r="E236" s="207"/>
      <c r="F236" s="207"/>
      <c r="G236" s="207"/>
      <c r="H236" s="207"/>
      <c r="I236" s="207"/>
      <c r="J236" s="207"/>
      <c r="K236" s="207"/>
      <c r="L236" s="207"/>
      <c r="M236" s="207"/>
      <c r="N236" s="207"/>
      <c r="O236" s="98"/>
    </row>
    <row r="237" spans="1:15" x14ac:dyDescent="0.25">
      <c r="A237" s="98"/>
      <c r="B237" s="207"/>
      <c r="C237" s="207"/>
      <c r="D237" s="207"/>
      <c r="E237" s="207"/>
      <c r="F237" s="207"/>
      <c r="G237" s="207"/>
      <c r="H237" s="207"/>
      <c r="I237" s="207"/>
      <c r="J237" s="207"/>
      <c r="K237" s="207"/>
      <c r="L237" s="207"/>
      <c r="M237" s="207"/>
      <c r="N237" s="207"/>
      <c r="O237" s="98"/>
    </row>
    <row r="238" spans="1:15" x14ac:dyDescent="0.25">
      <c r="A238" s="98"/>
      <c r="B238" s="207"/>
      <c r="C238" s="207"/>
      <c r="D238" s="207"/>
      <c r="E238" s="207"/>
      <c r="F238" s="207"/>
      <c r="G238" s="207"/>
      <c r="H238" s="207"/>
      <c r="I238" s="207"/>
      <c r="J238" s="207"/>
      <c r="K238" s="207"/>
      <c r="L238" s="207"/>
      <c r="M238" s="207"/>
      <c r="N238" s="207"/>
      <c r="O238" s="98"/>
    </row>
    <row r="239" spans="1:15" x14ac:dyDescent="0.25">
      <c r="A239" s="98"/>
      <c r="B239" s="207"/>
      <c r="C239" s="207"/>
      <c r="D239" s="207"/>
      <c r="E239" s="207"/>
      <c r="F239" s="207"/>
      <c r="G239" s="207"/>
      <c r="H239" s="207"/>
      <c r="I239" s="207"/>
      <c r="J239" s="207"/>
      <c r="K239" s="207"/>
      <c r="L239" s="207"/>
      <c r="M239" s="207"/>
      <c r="N239" s="207"/>
      <c r="O239" s="98"/>
    </row>
    <row r="240" spans="1:15" x14ac:dyDescent="0.25">
      <c r="A240" s="98"/>
      <c r="B240" s="207"/>
      <c r="C240" s="207"/>
      <c r="D240" s="207"/>
      <c r="E240" s="207"/>
      <c r="F240" s="207"/>
      <c r="G240" s="207"/>
      <c r="H240" s="207"/>
      <c r="I240" s="207"/>
      <c r="J240" s="207"/>
      <c r="K240" s="207"/>
      <c r="L240" s="207"/>
      <c r="M240" s="207"/>
      <c r="N240" s="207"/>
      <c r="O240" s="98"/>
    </row>
    <row r="241" spans="1:15" x14ac:dyDescent="0.25">
      <c r="A241" s="98"/>
      <c r="B241" s="139"/>
      <c r="C241" s="98"/>
      <c r="D241" s="98"/>
      <c r="E241" s="98"/>
      <c r="F241" s="98"/>
      <c r="G241" s="98"/>
      <c r="H241" s="98"/>
      <c r="I241" s="98"/>
      <c r="J241" s="98"/>
      <c r="K241" s="98"/>
      <c r="L241" s="98"/>
      <c r="M241" s="98"/>
      <c r="N241" s="98"/>
      <c r="O241" s="98"/>
    </row>
    <row r="242" spans="1:15" x14ac:dyDescent="0.25">
      <c r="A242" s="98"/>
      <c r="B242" s="98"/>
      <c r="C242" s="98"/>
      <c r="D242" s="98"/>
      <c r="E242" s="98"/>
      <c r="F242" s="98"/>
      <c r="G242" s="98"/>
      <c r="H242" s="98"/>
      <c r="I242" s="98"/>
      <c r="J242" s="98"/>
      <c r="K242" s="98"/>
      <c r="L242" s="98"/>
      <c r="M242" s="98"/>
      <c r="N242" s="98"/>
      <c r="O242" s="98"/>
    </row>
    <row r="243" spans="1:15" x14ac:dyDescent="0.25">
      <c r="A243" s="98"/>
      <c r="B243" s="98"/>
      <c r="C243" s="98"/>
      <c r="D243" s="98"/>
      <c r="E243" s="98"/>
      <c r="F243" s="98"/>
      <c r="G243" s="98"/>
      <c r="H243" s="98"/>
      <c r="I243" s="98"/>
      <c r="J243" s="98"/>
      <c r="K243" s="98"/>
      <c r="L243" s="98"/>
      <c r="M243" s="98"/>
      <c r="N243" s="98"/>
      <c r="O243" s="98"/>
    </row>
    <row r="244" spans="1:15" x14ac:dyDescent="0.25">
      <c r="A244" s="98"/>
      <c r="B244" s="98"/>
      <c r="C244" s="98"/>
      <c r="D244" s="98"/>
      <c r="E244" s="98"/>
      <c r="F244" s="98"/>
      <c r="G244" s="98"/>
      <c r="H244" s="98"/>
      <c r="I244" s="98"/>
      <c r="J244" s="98"/>
      <c r="K244" s="98"/>
      <c r="L244" s="98"/>
      <c r="M244" s="98"/>
      <c r="N244" s="98"/>
      <c r="O244" s="98"/>
    </row>
    <row r="245" spans="1:15" x14ac:dyDescent="0.25">
      <c r="A245" s="98"/>
      <c r="B245" s="98"/>
      <c r="C245" s="98"/>
      <c r="D245" s="98"/>
      <c r="E245" s="98"/>
      <c r="F245" s="98"/>
      <c r="G245" s="98"/>
      <c r="H245" s="98"/>
      <c r="I245" s="98"/>
      <c r="J245" s="98"/>
      <c r="K245" s="98"/>
      <c r="L245" s="98"/>
      <c r="M245" s="98"/>
      <c r="N245" s="98"/>
      <c r="O245" s="98"/>
    </row>
    <row r="246" spans="1:15" x14ac:dyDescent="0.25">
      <c r="A246" s="98"/>
      <c r="B246" s="98"/>
      <c r="C246" s="98"/>
      <c r="D246" s="98"/>
      <c r="E246" s="98"/>
      <c r="F246" s="98"/>
      <c r="G246" s="98"/>
      <c r="H246" s="98"/>
      <c r="I246" s="98"/>
      <c r="J246" s="98"/>
      <c r="K246" s="98"/>
      <c r="L246" s="98"/>
      <c r="M246" s="98"/>
      <c r="N246" s="98"/>
      <c r="O246" s="98"/>
    </row>
    <row r="247" spans="1:15" x14ac:dyDescent="0.25">
      <c r="A247" s="98"/>
      <c r="B247" s="98"/>
      <c r="C247" s="98"/>
      <c r="D247" s="98"/>
      <c r="E247" s="98"/>
      <c r="F247" s="98"/>
      <c r="G247" s="98"/>
      <c r="H247" s="98"/>
      <c r="I247" s="98"/>
      <c r="J247" s="98"/>
      <c r="K247" s="98"/>
      <c r="L247" s="98"/>
      <c r="M247" s="98"/>
      <c r="N247" s="98"/>
      <c r="O247" s="98"/>
    </row>
    <row r="248" spans="1:15" x14ac:dyDescent="0.25">
      <c r="A248" s="98"/>
      <c r="B248" s="98"/>
      <c r="C248" s="98"/>
      <c r="D248" s="98"/>
      <c r="E248" s="98"/>
      <c r="F248" s="98"/>
      <c r="G248" s="98"/>
      <c r="H248" s="98"/>
      <c r="I248" s="98"/>
      <c r="J248" s="98"/>
      <c r="K248" s="98"/>
      <c r="L248" s="98"/>
      <c r="M248" s="98"/>
      <c r="N248" s="98"/>
      <c r="O248" s="98"/>
    </row>
    <row r="249" spans="1:15" x14ac:dyDescent="0.25">
      <c r="A249" s="98"/>
      <c r="B249" s="98"/>
      <c r="C249" s="98"/>
      <c r="D249" s="98"/>
      <c r="E249" s="98"/>
      <c r="F249" s="98"/>
      <c r="G249" s="98"/>
      <c r="H249" s="98"/>
      <c r="I249" s="98"/>
      <c r="J249" s="98"/>
      <c r="K249" s="98"/>
      <c r="L249" s="98"/>
      <c r="M249" s="98"/>
      <c r="N249" s="98"/>
      <c r="O249" s="98"/>
    </row>
    <row r="250" spans="1:15" x14ac:dyDescent="0.25">
      <c r="A250" s="98"/>
      <c r="B250" s="98"/>
      <c r="C250" s="98"/>
      <c r="D250" s="98"/>
      <c r="E250" s="98"/>
      <c r="F250" s="98"/>
      <c r="G250" s="98"/>
      <c r="H250" s="98"/>
      <c r="I250" s="98"/>
      <c r="J250" s="98"/>
      <c r="K250" s="98"/>
      <c r="L250" s="98"/>
      <c r="M250" s="98"/>
      <c r="N250" s="98"/>
      <c r="O250" s="98"/>
    </row>
    <row r="251" spans="1:15" x14ac:dyDescent="0.25">
      <c r="A251" s="98"/>
      <c r="B251" s="98"/>
      <c r="C251" s="98"/>
      <c r="D251" s="98"/>
      <c r="E251" s="98"/>
      <c r="F251" s="98"/>
      <c r="G251" s="98"/>
      <c r="H251" s="98"/>
      <c r="I251" s="98"/>
      <c r="J251" s="98"/>
      <c r="K251" s="98"/>
      <c r="L251" s="98"/>
      <c r="M251" s="98"/>
      <c r="N251" s="98"/>
      <c r="O251" s="98"/>
    </row>
  </sheetData>
  <sheetProtection algorithmName="SHA-512" hashValue="6jNqux4YwLKI1MldrxzVLJumudH16/UaxDVZufUT1ihm0DFDThumWTfwPfXLU48b9GvucQPJ/wSHLABYcis1hA==" saltValue="Qi5Jwjt0YmDDaj1OUvp7Ng==" spinCount="100000" sheet="1" objects="1" scenarios="1"/>
  <protectedRanges>
    <protectedRange sqref="C4 M4 C5:N8 C24:C28 E25:E28 G28 I28 B101:C103 B105:C106 H101:H103 L100 L103:L105 M24 C159:C160 L157" name="Range1"/>
    <protectedRange sqref="C117:J118" name="Range1_1"/>
    <protectedRange sqref="H104" name="Range1_3"/>
    <protectedRange sqref="C171:F172" name="Range1_2"/>
    <protectedRange sqref="G106:H106" name="Range1_4"/>
  </protectedRanges>
  <mergeCells count="84">
    <mergeCell ref="K25:L25"/>
    <mergeCell ref="B204:N240"/>
    <mergeCell ref="A1:A201"/>
    <mergeCell ref="B1:N1"/>
    <mergeCell ref="O1:O201"/>
    <mergeCell ref="B97:E97"/>
    <mergeCell ref="B162:F162"/>
    <mergeCell ref="C180:E180"/>
    <mergeCell ref="F180:H180"/>
    <mergeCell ref="C144:F144"/>
    <mergeCell ref="C195:E195"/>
    <mergeCell ref="F185:H185"/>
    <mergeCell ref="B104:C104"/>
    <mergeCell ref="C190:E190"/>
    <mergeCell ref="B89:D89"/>
    <mergeCell ref="B2:N2"/>
    <mergeCell ref="F195:H195"/>
    <mergeCell ref="M4:N4"/>
    <mergeCell ref="J89:L89"/>
    <mergeCell ref="I43:L43"/>
    <mergeCell ref="C41:F41"/>
    <mergeCell ref="C42:F42"/>
    <mergeCell ref="C4:K4"/>
    <mergeCell ref="C5:N5"/>
    <mergeCell ref="C6:N6"/>
    <mergeCell ref="C8:N8"/>
    <mergeCell ref="B23:N23"/>
    <mergeCell ref="E63:F63"/>
    <mergeCell ref="K39:L39"/>
    <mergeCell ref="K40:L40"/>
    <mergeCell ref="B88:N88"/>
    <mergeCell ref="C7:M7"/>
    <mergeCell ref="B203:N203"/>
    <mergeCell ref="B91:D91"/>
    <mergeCell ref="H101:I101"/>
    <mergeCell ref="C185:E185"/>
    <mergeCell ref="B98:D98"/>
    <mergeCell ref="D101:E101"/>
    <mergeCell ref="D102:E102"/>
    <mergeCell ref="D105:E105"/>
    <mergeCell ref="D106:E106"/>
    <mergeCell ref="G144:J144"/>
    <mergeCell ref="B92:D92"/>
    <mergeCell ref="B201:N201"/>
    <mergeCell ref="B101:C101"/>
    <mergeCell ref="G100:I100"/>
    <mergeCell ref="C134:F134"/>
    <mergeCell ref="G134:J134"/>
    <mergeCell ref="F190:H190"/>
    <mergeCell ref="K24:L24"/>
    <mergeCell ref="D60:F60"/>
    <mergeCell ref="D61:F61"/>
    <mergeCell ref="D62:F62"/>
    <mergeCell ref="G89:H89"/>
    <mergeCell ref="G90:H90"/>
    <mergeCell ref="K41:L41"/>
    <mergeCell ref="K42:L42"/>
    <mergeCell ref="C40:F40"/>
    <mergeCell ref="D58:F58"/>
    <mergeCell ref="D59:F59"/>
    <mergeCell ref="K31:M31"/>
    <mergeCell ref="B90:D90"/>
    <mergeCell ref="B108:F108"/>
    <mergeCell ref="C129:F129"/>
    <mergeCell ref="B34:N34"/>
    <mergeCell ref="B36:N36"/>
    <mergeCell ref="B32:E32"/>
    <mergeCell ref="B94:E95"/>
    <mergeCell ref="J90:L90"/>
    <mergeCell ref="B35:N35"/>
    <mergeCell ref="L169:M177"/>
    <mergeCell ref="D160:E160"/>
    <mergeCell ref="G154:I154"/>
    <mergeCell ref="H155:I155"/>
    <mergeCell ref="F95:K95"/>
    <mergeCell ref="L92:M95"/>
    <mergeCell ref="B151:E151"/>
    <mergeCell ref="B152:D152"/>
    <mergeCell ref="D155:E155"/>
    <mergeCell ref="D156:E156"/>
    <mergeCell ref="D159:E159"/>
    <mergeCell ref="G129:J129"/>
    <mergeCell ref="G139:J139"/>
    <mergeCell ref="C139:F139"/>
  </mergeCells>
  <conditionalFormatting sqref="B35">
    <cfRule type="expression" dxfId="6" priority="1">
      <formula>OR(G33/G30&gt;6.5,G33/G32&gt;6.5)</formula>
    </cfRule>
  </conditionalFormatting>
  <conditionalFormatting sqref="B32:E32">
    <cfRule type="expression" dxfId="5" priority="5">
      <formula>B32&lt;&gt;""</formula>
    </cfRule>
  </conditionalFormatting>
  <conditionalFormatting sqref="B34:N34">
    <cfRule type="expression" dxfId="4" priority="6">
      <formula>B34&lt;&gt;""</formula>
    </cfRule>
  </conditionalFormatting>
  <conditionalFormatting sqref="B36:N36">
    <cfRule type="expression" dxfId="3" priority="4">
      <formula>B36&lt;&gt;""</formula>
    </cfRule>
  </conditionalFormatting>
  <conditionalFormatting sqref="K31:M31">
    <cfRule type="expression" dxfId="2" priority="9">
      <formula>$K$31&lt;&gt;""</formula>
    </cfRule>
  </conditionalFormatting>
  <conditionalFormatting sqref="L92:M95">
    <cfRule type="expression" dxfId="1" priority="3">
      <formula>$C$174="N/A"</formula>
    </cfRule>
  </conditionalFormatting>
  <conditionalFormatting sqref="L169:M169 L173:M177">
    <cfRule type="expression" dxfId="0" priority="2">
      <formula>$C$174="N/A"</formula>
    </cfRule>
  </conditionalFormatting>
  <dataValidations count="7">
    <dataValidation type="list" allowBlank="1" showInputMessage="1" showErrorMessage="1" sqref="L101" xr:uid="{00000000-0002-0000-0400-000002000000}">
      <formula1>"8d common,10d common"</formula1>
    </dataValidation>
    <dataValidation type="list" allowBlank="1" showInputMessage="1" showErrorMessage="1" sqref="L104" xr:uid="{00000000-0002-0000-0400-000003000000}">
      <formula1>"2,3,4,6"</formula1>
    </dataValidation>
    <dataValidation type="list" allowBlank="1" showInputMessage="1" showErrorMessage="1" sqref="D102:E102" xr:uid="{00000000-0002-0000-0400-000005000000}">
      <formula1>"APA Rated Sheathing,APA Structural 1"</formula1>
    </dataValidation>
    <dataValidation type="list" allowBlank="1" showInputMessage="1" showErrorMessage="1" sqref="M24" xr:uid="{00000000-0002-0000-0400-000006000000}">
      <formula1>"2bs/h,1.25-0.125h/bs,None"</formula1>
    </dataValidation>
    <dataValidation allowBlank="1" showInputMessage="1" showErrorMessage="1" prompt="To modify this data, use the orange input box above the Four-Term Equation Deflection Check section of the spreadsheet." sqref="E152 D155:E156 H155:I155 H156:H158 L155 L158:L160 H160" xr:uid="{E3AF9272-FC92-4190-B801-0E19040810F6}"/>
    <dataValidation allowBlank="1" showInputMessage="1" showErrorMessage="1" prompt="To modify this data, use the blue input box above the Four-Term Equation Deflection Check section of the spreadsheet." sqref="D159:E160" xr:uid="{22AEAA65-843F-4B41-AC62-BA6CF337C935}"/>
    <dataValidation type="whole" operator="greaterThan" allowBlank="1" showInputMessage="1" showErrorMessage="1" sqref="C116:J116" xr:uid="{26EA5216-EF05-4E9B-BC13-BF2FFDD8406F}">
      <formula1>0</formula1>
    </dataValidation>
  </dataValidations>
  <printOptions horizontalCentered="1"/>
  <pageMargins left="0.7" right="0.7" top="0.5" bottom="0.5" header="0.3" footer="0.3"/>
  <pageSetup scale="58" fitToHeight="0" orientation="portrait" r:id="rId1"/>
  <headerFooter>
    <oddFooter>&amp;C&amp;G</oddFooter>
    <firstHeader>&amp;C&amp;G</firstHeader>
    <firstFooter>&amp;C&amp;G</firstFooter>
  </headerFooter>
  <rowBreaks count="3" manualBreakCount="3">
    <brk id="64" min="1" max="13" man="1"/>
    <brk id="95" min="1" max="13" man="1"/>
    <brk id="149" min="1" max="13" man="1"/>
  </rowBreaks>
  <ignoredErrors>
    <ignoredError sqref="E120:J120 F122:F123 G123:I123 E124:I126 E174:J177 D122 E113 G113 I113 E121:G121 I121:J121 H121:H122 E123 J122:J126 E167 G167 I167 M81 E115:J115 E169:J169" formula="1"/>
    <ignoredError sqref="C29" formulaRange="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4000000}">
          <x14:formula1>
            <xm:f>LookUp!$A$2:$A$7</xm:f>
          </x14:formula1>
          <xm:sqref>C117:J117</xm:sqref>
        </x14:dataValidation>
        <x14:dataValidation type="list" allowBlank="1" showInputMessage="1" showErrorMessage="1" xr:uid="{202D1420-9AE4-40AE-ABE4-289F0735C42D}">
          <x14:formula1>
            <xm:f>LookUp!$D$2:$D$8</xm:f>
          </x14:formula1>
          <xm:sqref>D101:E101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41378-43D4-46D0-837B-A8CF5ACAEB3B}">
  <dimension ref="A1:M140"/>
  <sheetViews>
    <sheetView workbookViewId="0">
      <selection activeCell="C12" sqref="C12"/>
    </sheetView>
  </sheetViews>
  <sheetFormatPr defaultRowHeight="15" x14ac:dyDescent="0.25"/>
  <cols>
    <col min="1" max="1" width="19.5703125" customWidth="1"/>
    <col min="2" max="2" width="25.140625" customWidth="1"/>
    <col min="3" max="3" width="10.5703125" customWidth="1"/>
    <col min="7" max="7" width="17.5703125" customWidth="1"/>
    <col min="8" max="8" width="11.5703125" customWidth="1"/>
    <col min="9" max="9" width="8.140625" customWidth="1"/>
    <col min="10" max="10" width="1.140625" customWidth="1"/>
    <col min="11" max="11" width="7.42578125" customWidth="1"/>
    <col min="12" max="12" width="1.42578125" customWidth="1"/>
    <col min="13" max="13" width="5.140625" customWidth="1"/>
  </cols>
  <sheetData>
    <row r="1" spans="1:13" x14ac:dyDescent="0.25">
      <c r="A1" s="15" t="s">
        <v>287</v>
      </c>
      <c r="B1" s="15" t="s">
        <v>288</v>
      </c>
      <c r="D1" s="4" t="s">
        <v>24</v>
      </c>
      <c r="G1" s="216" t="s">
        <v>289</v>
      </c>
      <c r="H1" s="216"/>
      <c r="I1" s="236"/>
      <c r="J1" s="299"/>
      <c r="K1" s="299"/>
      <c r="L1" s="299"/>
      <c r="M1" s="299"/>
    </row>
    <row r="2" spans="1:13" x14ac:dyDescent="0.25">
      <c r="A2" s="15" t="s">
        <v>290</v>
      </c>
      <c r="B2" s="15">
        <v>3.75</v>
      </c>
      <c r="D2" t="s">
        <v>291</v>
      </c>
      <c r="G2" s="32" t="s">
        <v>292</v>
      </c>
      <c r="H2" s="15"/>
      <c r="I2" s="15">
        <v>616</v>
      </c>
      <c r="K2" s="15">
        <v>3.0179999999999998</v>
      </c>
      <c r="M2" s="15">
        <v>1</v>
      </c>
    </row>
    <row r="3" spans="1:13" x14ac:dyDescent="0.25">
      <c r="A3" s="15" t="s">
        <v>293</v>
      </c>
      <c r="B3" s="15">
        <f>1.5*3.5</f>
        <v>5.25</v>
      </c>
      <c r="D3" t="s">
        <v>294</v>
      </c>
      <c r="G3" s="32" t="s">
        <v>295</v>
      </c>
      <c r="H3" s="15"/>
      <c r="I3" s="15">
        <v>769</v>
      </c>
      <c r="K3" s="15">
        <v>3.2759999999999998</v>
      </c>
      <c r="M3" s="15">
        <v>1</v>
      </c>
    </row>
    <row r="4" spans="1:13" x14ac:dyDescent="0.25">
      <c r="A4" s="15" t="s">
        <v>296</v>
      </c>
      <c r="B4" s="15">
        <f>2.5*3.5</f>
        <v>8.75</v>
      </c>
      <c r="D4" t="s">
        <v>171</v>
      </c>
      <c r="G4" t="s">
        <v>297</v>
      </c>
      <c r="I4" s="15">
        <v>616</v>
      </c>
      <c r="K4" s="15">
        <v>3.0179999999999998</v>
      </c>
      <c r="M4" s="15">
        <v>1.2</v>
      </c>
    </row>
    <row r="5" spans="1:13" x14ac:dyDescent="0.25">
      <c r="A5" s="15" t="s">
        <v>298</v>
      </c>
      <c r="B5" s="15">
        <f>1.5*4.5</f>
        <v>6.75</v>
      </c>
      <c r="D5" t="s">
        <v>299</v>
      </c>
      <c r="G5" t="s">
        <v>300</v>
      </c>
      <c r="I5" s="15">
        <v>769</v>
      </c>
      <c r="K5" s="15">
        <v>3.2759999999999998</v>
      </c>
      <c r="M5" s="15">
        <v>1.2</v>
      </c>
    </row>
    <row r="6" spans="1:13" x14ac:dyDescent="0.25">
      <c r="A6" s="15" t="s">
        <v>202</v>
      </c>
      <c r="B6" s="15">
        <v>8.25</v>
      </c>
      <c r="D6" t="s">
        <v>301</v>
      </c>
      <c r="M6" s="15"/>
    </row>
    <row r="7" spans="1:13" x14ac:dyDescent="0.25">
      <c r="A7" s="15" t="s">
        <v>302</v>
      </c>
      <c r="B7" s="15">
        <f>2.5*5.5</f>
        <v>13.75</v>
      </c>
      <c r="D7" t="s">
        <v>303</v>
      </c>
    </row>
    <row r="8" spans="1:13" x14ac:dyDescent="0.25">
      <c r="D8" t="s">
        <v>304</v>
      </c>
    </row>
    <row r="9" spans="1:13" x14ac:dyDescent="0.25">
      <c r="D9" t="s">
        <v>305</v>
      </c>
    </row>
    <row r="11" spans="1:13" ht="18" x14ac:dyDescent="0.35">
      <c r="A11" s="97" t="s">
        <v>27</v>
      </c>
      <c r="C11" s="97" t="s">
        <v>32</v>
      </c>
    </row>
    <row r="12" spans="1:13" x14ac:dyDescent="0.25">
      <c r="A12" s="147" t="s">
        <v>306</v>
      </c>
      <c r="C12" s="144">
        <v>77500</v>
      </c>
    </row>
    <row r="13" spans="1:13" x14ac:dyDescent="0.25">
      <c r="A13" s="32" t="s">
        <v>307</v>
      </c>
      <c r="C13">
        <v>83500</v>
      </c>
    </row>
    <row r="14" spans="1:13" x14ac:dyDescent="0.25">
      <c r="A14" s="147" t="s">
        <v>308</v>
      </c>
      <c r="C14" s="144">
        <v>83500</v>
      </c>
    </row>
    <row r="15" spans="1:13" x14ac:dyDescent="0.25">
      <c r="A15" s="148" t="s">
        <v>309</v>
      </c>
      <c r="C15" s="146">
        <v>83500</v>
      </c>
    </row>
    <row r="16" spans="1:13" x14ac:dyDescent="0.25">
      <c r="A16" s="147" t="s">
        <v>310</v>
      </c>
      <c r="C16" s="144">
        <v>77500</v>
      </c>
    </row>
    <row r="17" spans="1:3" x14ac:dyDescent="0.25">
      <c r="A17" s="32" t="s">
        <v>311</v>
      </c>
      <c r="C17">
        <v>83500</v>
      </c>
    </row>
    <row r="18" spans="1:3" x14ac:dyDescent="0.25">
      <c r="A18" s="147" t="s">
        <v>312</v>
      </c>
      <c r="C18" s="144">
        <v>83500</v>
      </c>
    </row>
    <row r="19" spans="1:3" x14ac:dyDescent="0.25">
      <c r="A19" s="148" t="s">
        <v>313</v>
      </c>
      <c r="C19" s="146">
        <v>83500</v>
      </c>
    </row>
    <row r="20" spans="1:3" x14ac:dyDescent="0.25">
      <c r="A20" s="147" t="s">
        <v>314</v>
      </c>
      <c r="C20" s="144">
        <v>25000</v>
      </c>
    </row>
    <row r="21" spans="1:3" x14ac:dyDescent="0.25">
      <c r="A21" s="147" t="s">
        <v>315</v>
      </c>
      <c r="C21" s="144">
        <v>27000</v>
      </c>
    </row>
    <row r="22" spans="1:3" x14ac:dyDescent="0.25">
      <c r="A22" s="148" t="s">
        <v>316</v>
      </c>
      <c r="C22" s="146">
        <v>28500</v>
      </c>
    </row>
    <row r="23" spans="1:3" x14ac:dyDescent="0.25">
      <c r="A23" s="147" t="s">
        <v>317</v>
      </c>
      <c r="C23" s="144">
        <v>32500</v>
      </c>
    </row>
    <row r="24" spans="1:3" x14ac:dyDescent="0.25">
      <c r="A24" s="147" t="s">
        <v>318</v>
      </c>
      <c r="C24" s="144">
        <v>44500</v>
      </c>
    </row>
    <row r="25" spans="1:3" x14ac:dyDescent="0.25">
      <c r="A25" s="149" t="s">
        <v>319</v>
      </c>
      <c r="C25" s="145">
        <v>47500</v>
      </c>
    </row>
    <row r="28" spans="1:3" ht="18" x14ac:dyDescent="0.35">
      <c r="A28" s="97" t="s">
        <v>27</v>
      </c>
      <c r="C28" s="97" t="s">
        <v>37</v>
      </c>
    </row>
    <row r="29" spans="1:3" x14ac:dyDescent="0.25">
      <c r="A29" s="147" t="s">
        <v>320</v>
      </c>
      <c r="C29" s="144">
        <v>45</v>
      </c>
    </row>
    <row r="30" spans="1:3" x14ac:dyDescent="0.25">
      <c r="A30" s="32" t="s">
        <v>321</v>
      </c>
      <c r="C30">
        <v>31</v>
      </c>
    </row>
    <row r="31" spans="1:3" x14ac:dyDescent="0.25">
      <c r="A31" s="147" t="s">
        <v>322</v>
      </c>
      <c r="C31" s="144">
        <v>25</v>
      </c>
    </row>
    <row r="32" spans="1:3" x14ac:dyDescent="0.25">
      <c r="A32" s="148" t="s">
        <v>323</v>
      </c>
      <c r="C32" s="146">
        <v>17</v>
      </c>
    </row>
    <row r="33" spans="1:3" x14ac:dyDescent="0.25">
      <c r="A33" s="147" t="s">
        <v>324</v>
      </c>
      <c r="C33" s="150" t="s">
        <v>325</v>
      </c>
    </row>
    <row r="34" spans="1:3" x14ac:dyDescent="0.25">
      <c r="A34" s="32" t="s">
        <v>326</v>
      </c>
      <c r="C34" s="151" t="s">
        <v>325</v>
      </c>
    </row>
    <row r="35" spans="1:3" x14ac:dyDescent="0.25">
      <c r="A35" s="147" t="s">
        <v>327</v>
      </c>
      <c r="C35" s="150" t="s">
        <v>325</v>
      </c>
    </row>
    <row r="36" spans="1:3" x14ac:dyDescent="0.25">
      <c r="A36" s="148" t="s">
        <v>328</v>
      </c>
      <c r="C36" s="152" t="s">
        <v>325</v>
      </c>
    </row>
    <row r="37" spans="1:3" x14ac:dyDescent="0.25">
      <c r="A37" s="147" t="s">
        <v>329</v>
      </c>
      <c r="C37" s="153">
        <v>42</v>
      </c>
    </row>
    <row r="38" spans="1:3" x14ac:dyDescent="0.25">
      <c r="A38" s="32" t="s">
        <v>330</v>
      </c>
      <c r="C38" s="2">
        <v>28</v>
      </c>
    </row>
    <row r="39" spans="1:3" x14ac:dyDescent="0.25">
      <c r="A39" s="147" t="s">
        <v>331</v>
      </c>
      <c r="C39" s="153">
        <v>22</v>
      </c>
    </row>
    <row r="40" spans="1:3" x14ac:dyDescent="0.25">
      <c r="A40" s="148" t="s">
        <v>332</v>
      </c>
      <c r="C40" s="154">
        <v>15</v>
      </c>
    </row>
    <row r="41" spans="1:3" x14ac:dyDescent="0.25">
      <c r="A41" s="147" t="s">
        <v>333</v>
      </c>
      <c r="C41" s="150" t="s">
        <v>325</v>
      </c>
    </row>
    <row r="42" spans="1:3" x14ac:dyDescent="0.25">
      <c r="A42" s="32" t="s">
        <v>334</v>
      </c>
      <c r="C42" s="151" t="s">
        <v>325</v>
      </c>
    </row>
    <row r="43" spans="1:3" x14ac:dyDescent="0.25">
      <c r="A43" s="147" t="s">
        <v>335</v>
      </c>
      <c r="C43" s="150" t="s">
        <v>325</v>
      </c>
    </row>
    <row r="44" spans="1:3" x14ac:dyDescent="0.25">
      <c r="A44" s="148" t="s">
        <v>336</v>
      </c>
      <c r="C44" s="152" t="s">
        <v>325</v>
      </c>
    </row>
    <row r="45" spans="1:3" x14ac:dyDescent="0.25">
      <c r="A45" s="147" t="s">
        <v>337</v>
      </c>
      <c r="C45" s="144">
        <v>39</v>
      </c>
    </row>
    <row r="46" spans="1:3" x14ac:dyDescent="0.25">
      <c r="A46" s="32" t="s">
        <v>338</v>
      </c>
      <c r="C46">
        <v>25</v>
      </c>
    </row>
    <row r="47" spans="1:3" x14ac:dyDescent="0.25">
      <c r="A47" s="147" t="s">
        <v>339</v>
      </c>
      <c r="C47" s="144">
        <v>19</v>
      </c>
    </row>
    <row r="48" spans="1:3" x14ac:dyDescent="0.25">
      <c r="A48" s="148" t="s">
        <v>340</v>
      </c>
      <c r="C48" s="146">
        <v>13</v>
      </c>
    </row>
    <row r="49" spans="1:3" x14ac:dyDescent="0.25">
      <c r="A49" s="147" t="s">
        <v>341</v>
      </c>
      <c r="C49" s="144">
        <v>52</v>
      </c>
    </row>
    <row r="50" spans="1:3" x14ac:dyDescent="0.25">
      <c r="A50" s="32" t="s">
        <v>342</v>
      </c>
      <c r="C50">
        <v>37</v>
      </c>
    </row>
    <row r="51" spans="1:3" x14ac:dyDescent="0.25">
      <c r="A51" s="147" t="s">
        <v>343</v>
      </c>
      <c r="C51" s="144">
        <v>30</v>
      </c>
    </row>
    <row r="52" spans="1:3" x14ac:dyDescent="0.25">
      <c r="A52" s="148" t="s">
        <v>344</v>
      </c>
      <c r="C52" s="146">
        <v>22</v>
      </c>
    </row>
    <row r="53" spans="1:3" x14ac:dyDescent="0.25">
      <c r="A53" s="147" t="s">
        <v>345</v>
      </c>
      <c r="C53" s="150" t="s">
        <v>325</v>
      </c>
    </row>
    <row r="54" spans="1:3" x14ac:dyDescent="0.25">
      <c r="A54" s="32" t="s">
        <v>346</v>
      </c>
      <c r="C54" s="151" t="s">
        <v>325</v>
      </c>
    </row>
    <row r="55" spans="1:3" x14ac:dyDescent="0.25">
      <c r="A55" s="147" t="s">
        <v>347</v>
      </c>
      <c r="C55" s="150" t="s">
        <v>325</v>
      </c>
    </row>
    <row r="56" spans="1:3" x14ac:dyDescent="0.25">
      <c r="A56" s="148" t="s">
        <v>348</v>
      </c>
      <c r="C56" s="152" t="s">
        <v>325</v>
      </c>
    </row>
    <row r="57" spans="1:3" x14ac:dyDescent="0.25">
      <c r="A57" s="147" t="s">
        <v>349</v>
      </c>
      <c r="C57" s="144">
        <v>48</v>
      </c>
    </row>
    <row r="58" spans="1:3" x14ac:dyDescent="0.25">
      <c r="A58" s="32" t="s">
        <v>350</v>
      </c>
      <c r="C58">
        <v>33</v>
      </c>
    </row>
    <row r="59" spans="1:3" x14ac:dyDescent="0.25">
      <c r="A59" s="147" t="s">
        <v>351</v>
      </c>
      <c r="C59" s="144">
        <v>26</v>
      </c>
    </row>
    <row r="60" spans="1:3" x14ac:dyDescent="0.25">
      <c r="A60" s="148" t="s">
        <v>352</v>
      </c>
      <c r="C60" s="146">
        <v>19</v>
      </c>
    </row>
    <row r="61" spans="1:3" x14ac:dyDescent="0.25">
      <c r="A61" s="147" t="s">
        <v>353</v>
      </c>
      <c r="C61" s="144">
        <v>43</v>
      </c>
    </row>
    <row r="62" spans="1:3" x14ac:dyDescent="0.25">
      <c r="A62" s="32" t="s">
        <v>354</v>
      </c>
      <c r="C62">
        <v>30</v>
      </c>
    </row>
    <row r="63" spans="1:3" x14ac:dyDescent="0.25">
      <c r="A63" s="147" t="s">
        <v>355</v>
      </c>
      <c r="C63" s="144">
        <v>24</v>
      </c>
    </row>
    <row r="64" spans="1:3" x14ac:dyDescent="0.25">
      <c r="A64" s="148" t="s">
        <v>356</v>
      </c>
      <c r="C64" s="146">
        <v>19</v>
      </c>
    </row>
    <row r="65" spans="1:3" x14ac:dyDescent="0.25">
      <c r="A65" s="147" t="s">
        <v>357</v>
      </c>
      <c r="C65" s="150" t="s">
        <v>325</v>
      </c>
    </row>
    <row r="66" spans="1:3" x14ac:dyDescent="0.25">
      <c r="A66" s="32" t="s">
        <v>358</v>
      </c>
      <c r="C66" s="151" t="s">
        <v>325</v>
      </c>
    </row>
    <row r="67" spans="1:3" x14ac:dyDescent="0.25">
      <c r="A67" s="147" t="s">
        <v>359</v>
      </c>
      <c r="C67" s="150" t="s">
        <v>325</v>
      </c>
    </row>
    <row r="68" spans="1:3" x14ac:dyDescent="0.25">
      <c r="A68" s="148" t="s">
        <v>360</v>
      </c>
      <c r="C68" s="152" t="s">
        <v>325</v>
      </c>
    </row>
    <row r="69" spans="1:3" x14ac:dyDescent="0.25">
      <c r="A69" s="147" t="s">
        <v>361</v>
      </c>
      <c r="C69" s="153">
        <v>40</v>
      </c>
    </row>
    <row r="70" spans="1:3" x14ac:dyDescent="0.25">
      <c r="A70" s="32" t="s">
        <v>362</v>
      </c>
      <c r="C70" s="2">
        <v>27</v>
      </c>
    </row>
    <row r="71" spans="1:3" x14ac:dyDescent="0.25">
      <c r="A71" s="147" t="s">
        <v>363</v>
      </c>
      <c r="C71" s="153">
        <v>21</v>
      </c>
    </row>
    <row r="72" spans="1:3" x14ac:dyDescent="0.25">
      <c r="A72" s="148" t="s">
        <v>364</v>
      </c>
      <c r="C72" s="154">
        <v>16</v>
      </c>
    </row>
    <row r="73" spans="1:3" x14ac:dyDescent="0.25">
      <c r="A73" s="147" t="s">
        <v>365</v>
      </c>
      <c r="C73" s="150" t="s">
        <v>325</v>
      </c>
    </row>
    <row r="74" spans="1:3" x14ac:dyDescent="0.25">
      <c r="A74" s="32" t="s">
        <v>366</v>
      </c>
      <c r="C74" s="151" t="s">
        <v>325</v>
      </c>
    </row>
    <row r="75" spans="1:3" x14ac:dyDescent="0.25">
      <c r="A75" s="147" t="s">
        <v>367</v>
      </c>
      <c r="C75" s="150" t="s">
        <v>325</v>
      </c>
    </row>
    <row r="76" spans="1:3" x14ac:dyDescent="0.25">
      <c r="A76" s="148" t="s">
        <v>368</v>
      </c>
      <c r="C76" s="152" t="s">
        <v>325</v>
      </c>
    </row>
    <row r="77" spans="1:3" x14ac:dyDescent="0.25">
      <c r="A77" s="147" t="s">
        <v>369</v>
      </c>
      <c r="C77" s="144">
        <v>37</v>
      </c>
    </row>
    <row r="78" spans="1:3" x14ac:dyDescent="0.25">
      <c r="A78" s="32" t="s">
        <v>370</v>
      </c>
      <c r="C78">
        <v>24</v>
      </c>
    </row>
    <row r="79" spans="1:3" x14ac:dyDescent="0.25">
      <c r="A79" s="147" t="s">
        <v>371</v>
      </c>
      <c r="C79" s="144">
        <v>18</v>
      </c>
    </row>
    <row r="80" spans="1:3" x14ac:dyDescent="0.25">
      <c r="A80" s="148" t="s">
        <v>372</v>
      </c>
      <c r="C80" s="146">
        <v>14</v>
      </c>
    </row>
    <row r="81" spans="1:3" x14ac:dyDescent="0.25">
      <c r="A81" s="147" t="s">
        <v>373</v>
      </c>
      <c r="C81" s="144">
        <v>51</v>
      </c>
    </row>
    <row r="82" spans="1:3" x14ac:dyDescent="0.25">
      <c r="A82" s="32" t="s">
        <v>374</v>
      </c>
      <c r="C82">
        <v>36</v>
      </c>
    </row>
    <row r="83" spans="1:3" x14ac:dyDescent="0.25">
      <c r="A83" s="147" t="s">
        <v>375</v>
      </c>
      <c r="C83" s="144">
        <v>29</v>
      </c>
    </row>
    <row r="84" spans="1:3" x14ac:dyDescent="0.25">
      <c r="A84" s="148" t="s">
        <v>376</v>
      </c>
      <c r="C84" s="146">
        <v>22</v>
      </c>
    </row>
    <row r="85" spans="1:3" x14ac:dyDescent="0.25">
      <c r="A85" s="147" t="s">
        <v>377</v>
      </c>
      <c r="C85" s="150" t="s">
        <v>325</v>
      </c>
    </row>
    <row r="86" spans="1:3" x14ac:dyDescent="0.25">
      <c r="A86" s="32" t="s">
        <v>378</v>
      </c>
      <c r="C86" s="151" t="s">
        <v>325</v>
      </c>
    </row>
    <row r="87" spans="1:3" x14ac:dyDescent="0.25">
      <c r="A87" s="147" t="s">
        <v>379</v>
      </c>
      <c r="C87" s="150" t="s">
        <v>325</v>
      </c>
    </row>
    <row r="88" spans="1:3" x14ac:dyDescent="0.25">
      <c r="A88" s="148" t="s">
        <v>380</v>
      </c>
      <c r="C88" s="152" t="s">
        <v>325</v>
      </c>
    </row>
    <row r="89" spans="1:3" x14ac:dyDescent="0.25">
      <c r="A89" s="147" t="s">
        <v>381</v>
      </c>
      <c r="C89" s="150" t="s">
        <v>325</v>
      </c>
    </row>
    <row r="90" spans="1:3" x14ac:dyDescent="0.25">
      <c r="A90" s="32" t="s">
        <v>382</v>
      </c>
      <c r="C90" s="151" t="s">
        <v>325</v>
      </c>
    </row>
    <row r="91" spans="1:3" x14ac:dyDescent="0.25">
      <c r="A91" s="147" t="s">
        <v>383</v>
      </c>
      <c r="C91" s="150" t="s">
        <v>325</v>
      </c>
    </row>
    <row r="92" spans="1:3" x14ac:dyDescent="0.25">
      <c r="A92" s="148" t="s">
        <v>384</v>
      </c>
      <c r="C92" s="152" t="s">
        <v>325</v>
      </c>
    </row>
    <row r="93" spans="1:3" x14ac:dyDescent="0.25">
      <c r="A93" s="147" t="s">
        <v>385</v>
      </c>
      <c r="C93" s="144">
        <v>20</v>
      </c>
    </row>
    <row r="94" spans="1:3" x14ac:dyDescent="0.25">
      <c r="A94" s="32" t="s">
        <v>386</v>
      </c>
      <c r="C94">
        <v>17</v>
      </c>
    </row>
    <row r="95" spans="1:3" x14ac:dyDescent="0.25">
      <c r="A95" s="147" t="s">
        <v>387</v>
      </c>
      <c r="C95" s="144">
        <v>15</v>
      </c>
    </row>
    <row r="96" spans="1:3" x14ac:dyDescent="0.25">
      <c r="A96" s="148" t="s">
        <v>388</v>
      </c>
      <c r="C96" s="146">
        <v>12</v>
      </c>
    </row>
    <row r="97" spans="1:3" x14ac:dyDescent="0.25">
      <c r="A97" s="147" t="s">
        <v>389</v>
      </c>
      <c r="C97" s="150" t="s">
        <v>325</v>
      </c>
    </row>
    <row r="98" spans="1:3" x14ac:dyDescent="0.25">
      <c r="A98" s="32" t="s">
        <v>390</v>
      </c>
      <c r="C98" s="151" t="s">
        <v>325</v>
      </c>
    </row>
    <row r="99" spans="1:3" x14ac:dyDescent="0.25">
      <c r="A99" s="147" t="s">
        <v>391</v>
      </c>
      <c r="C99" s="150" t="s">
        <v>325</v>
      </c>
    </row>
    <row r="100" spans="1:3" x14ac:dyDescent="0.25">
      <c r="A100" s="148" t="s">
        <v>392</v>
      </c>
      <c r="C100" s="152" t="s">
        <v>325</v>
      </c>
    </row>
    <row r="101" spans="1:3" x14ac:dyDescent="0.25">
      <c r="A101" s="147" t="s">
        <v>393</v>
      </c>
      <c r="C101" s="150">
        <v>24</v>
      </c>
    </row>
    <row r="102" spans="1:3" x14ac:dyDescent="0.25">
      <c r="A102" s="32" t="s">
        <v>394</v>
      </c>
      <c r="C102" s="151">
        <v>20</v>
      </c>
    </row>
    <row r="103" spans="1:3" x14ac:dyDescent="0.25">
      <c r="A103" s="147" t="s">
        <v>395</v>
      </c>
      <c r="C103" s="150">
        <v>17</v>
      </c>
    </row>
    <row r="104" spans="1:3" x14ac:dyDescent="0.25">
      <c r="A104" s="148" t="s">
        <v>396</v>
      </c>
      <c r="C104" s="152">
        <v>14</v>
      </c>
    </row>
    <row r="105" spans="1:3" x14ac:dyDescent="0.25">
      <c r="A105" s="147" t="s">
        <v>397</v>
      </c>
      <c r="C105" s="150" t="s">
        <v>325</v>
      </c>
    </row>
    <row r="106" spans="1:3" x14ac:dyDescent="0.25">
      <c r="A106" s="32" t="s">
        <v>398</v>
      </c>
      <c r="C106" s="151" t="s">
        <v>325</v>
      </c>
    </row>
    <row r="107" spans="1:3" x14ac:dyDescent="0.25">
      <c r="A107" s="147" t="s">
        <v>399</v>
      </c>
      <c r="C107" s="150" t="s">
        <v>325</v>
      </c>
    </row>
    <row r="108" spans="1:3" x14ac:dyDescent="0.25">
      <c r="A108" s="148" t="s">
        <v>400</v>
      </c>
      <c r="C108" s="152" t="s">
        <v>325</v>
      </c>
    </row>
    <row r="109" spans="1:3" x14ac:dyDescent="0.25">
      <c r="A109" s="147" t="s">
        <v>401</v>
      </c>
      <c r="C109" s="144">
        <v>20</v>
      </c>
    </row>
    <row r="110" spans="1:3" x14ac:dyDescent="0.25">
      <c r="A110" s="32" t="s">
        <v>402</v>
      </c>
      <c r="C110">
        <v>15</v>
      </c>
    </row>
    <row r="111" spans="1:3" x14ac:dyDescent="0.25">
      <c r="A111" s="147" t="s">
        <v>403</v>
      </c>
      <c r="C111" s="144">
        <v>13</v>
      </c>
    </row>
    <row r="112" spans="1:3" x14ac:dyDescent="0.25">
      <c r="A112" s="148" t="s">
        <v>404</v>
      </c>
      <c r="C112" s="146">
        <v>10</v>
      </c>
    </row>
    <row r="113" spans="1:3" x14ac:dyDescent="0.25">
      <c r="A113" s="147" t="s">
        <v>405</v>
      </c>
      <c r="C113" s="144">
        <v>23</v>
      </c>
    </row>
    <row r="114" spans="1:3" x14ac:dyDescent="0.25">
      <c r="A114" s="32" t="s">
        <v>406</v>
      </c>
      <c r="C114">
        <v>19</v>
      </c>
    </row>
    <row r="115" spans="1:3" x14ac:dyDescent="0.25">
      <c r="A115" s="147" t="s">
        <v>407</v>
      </c>
      <c r="C115" s="144">
        <v>17</v>
      </c>
    </row>
    <row r="116" spans="1:3" x14ac:dyDescent="0.25">
      <c r="A116" s="148" t="s">
        <v>408</v>
      </c>
      <c r="C116" s="146">
        <v>14</v>
      </c>
    </row>
    <row r="117" spans="1:3" x14ac:dyDescent="0.25">
      <c r="A117" s="147" t="s">
        <v>409</v>
      </c>
      <c r="C117" s="144">
        <v>27.6</v>
      </c>
    </row>
    <row r="118" spans="1:3" x14ac:dyDescent="0.25">
      <c r="A118" s="32" t="s">
        <v>410</v>
      </c>
      <c r="C118">
        <v>20.399999999999999</v>
      </c>
    </row>
    <row r="119" spans="1:3" x14ac:dyDescent="0.25">
      <c r="A119" s="147" t="s">
        <v>411</v>
      </c>
      <c r="C119" s="144">
        <v>16.8</v>
      </c>
    </row>
    <row r="120" spans="1:3" x14ac:dyDescent="0.25">
      <c r="A120" s="148" t="s">
        <v>412</v>
      </c>
      <c r="C120" s="146">
        <v>13.2</v>
      </c>
    </row>
    <row r="121" spans="1:3" x14ac:dyDescent="0.25">
      <c r="A121" s="147" t="s">
        <v>413</v>
      </c>
      <c r="C121" s="144">
        <v>33.6</v>
      </c>
    </row>
    <row r="122" spans="1:3" x14ac:dyDescent="0.25">
      <c r="A122" s="32" t="s">
        <v>414</v>
      </c>
      <c r="C122">
        <v>26.4</v>
      </c>
    </row>
    <row r="123" spans="1:3" x14ac:dyDescent="0.25">
      <c r="A123" s="147" t="s">
        <v>415</v>
      </c>
      <c r="C123" s="144">
        <v>24</v>
      </c>
    </row>
    <row r="124" spans="1:3" x14ac:dyDescent="0.25">
      <c r="A124" s="148" t="s">
        <v>416</v>
      </c>
      <c r="C124" s="146">
        <v>19.2</v>
      </c>
    </row>
    <row r="125" spans="1:3" x14ac:dyDescent="0.25">
      <c r="A125" s="147" t="s">
        <v>417</v>
      </c>
      <c r="C125" s="150" t="s">
        <v>325</v>
      </c>
    </row>
    <row r="126" spans="1:3" x14ac:dyDescent="0.25">
      <c r="A126" s="32" t="s">
        <v>418</v>
      </c>
      <c r="C126" s="151" t="s">
        <v>325</v>
      </c>
    </row>
    <row r="127" spans="1:3" x14ac:dyDescent="0.25">
      <c r="A127" s="147" t="s">
        <v>419</v>
      </c>
      <c r="C127" s="150" t="s">
        <v>325</v>
      </c>
    </row>
    <row r="128" spans="1:3" x14ac:dyDescent="0.25">
      <c r="A128" s="148" t="s">
        <v>420</v>
      </c>
      <c r="C128" s="152" t="s">
        <v>325</v>
      </c>
    </row>
    <row r="129" spans="1:3" x14ac:dyDescent="0.25">
      <c r="A129" s="147" t="s">
        <v>421</v>
      </c>
      <c r="C129" s="144">
        <v>22</v>
      </c>
    </row>
    <row r="130" spans="1:3" x14ac:dyDescent="0.25">
      <c r="A130" s="32" t="s">
        <v>422</v>
      </c>
      <c r="C130">
        <v>18</v>
      </c>
    </row>
    <row r="131" spans="1:3" x14ac:dyDescent="0.25">
      <c r="A131" s="147" t="s">
        <v>423</v>
      </c>
      <c r="C131" s="144">
        <v>16</v>
      </c>
    </row>
    <row r="132" spans="1:3" x14ac:dyDescent="0.25">
      <c r="A132" s="148" t="s">
        <v>424</v>
      </c>
      <c r="C132" s="146">
        <v>13</v>
      </c>
    </row>
    <row r="133" spans="1:3" x14ac:dyDescent="0.25">
      <c r="A133" s="147" t="s">
        <v>425</v>
      </c>
      <c r="C133" s="150" t="s">
        <v>325</v>
      </c>
    </row>
    <row r="134" spans="1:3" x14ac:dyDescent="0.25">
      <c r="A134" s="32" t="s">
        <v>426</v>
      </c>
      <c r="C134" s="151" t="s">
        <v>325</v>
      </c>
    </row>
    <row r="135" spans="1:3" x14ac:dyDescent="0.25">
      <c r="A135" s="147" t="s">
        <v>427</v>
      </c>
      <c r="C135" s="150" t="s">
        <v>325</v>
      </c>
    </row>
    <row r="136" spans="1:3" x14ac:dyDescent="0.25">
      <c r="A136" s="148" t="s">
        <v>428</v>
      </c>
      <c r="C136" s="152" t="s">
        <v>325</v>
      </c>
    </row>
    <row r="137" spans="1:3" x14ac:dyDescent="0.25">
      <c r="A137" s="147" t="s">
        <v>429</v>
      </c>
      <c r="C137" s="150" t="s">
        <v>325</v>
      </c>
    </row>
    <row r="138" spans="1:3" x14ac:dyDescent="0.25">
      <c r="A138" s="32" t="s">
        <v>430</v>
      </c>
      <c r="C138" s="151" t="s">
        <v>325</v>
      </c>
    </row>
    <row r="139" spans="1:3" x14ac:dyDescent="0.25">
      <c r="A139" s="147" t="s">
        <v>431</v>
      </c>
      <c r="C139" s="150" t="s">
        <v>325</v>
      </c>
    </row>
    <row r="140" spans="1:3" x14ac:dyDescent="0.25">
      <c r="A140" s="166" t="s">
        <v>432</v>
      </c>
      <c r="C140" s="155" t="s">
        <v>325</v>
      </c>
    </row>
  </sheetData>
  <sheetProtection algorithmName="SHA-512" hashValue="Ce3xMCXBSvDG/MUJ4Bl5EHLCbiuk4TGo0yQoyrCArUqKABQAk+RgsorwRUqmwoevYNNhvUw2NhoGfWgMX87ohQ==" saltValue="wuLkqB6cswbmjrjqOOlt3A==" spinCount="100000" sheet="1" objects="1" scenarios="1"/>
  <mergeCells count="1">
    <mergeCell ref="G1:M1"/>
  </mergeCells>
  <pageMargins left="0.7" right="0.7" top="0.75" bottom="0.75" header="0.3" footer="0.3"/>
  <pageSetup orientation="portrait" horizontalDpi="4294967293" verticalDpi="4294967293"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79009-247C-4AD1-834E-91D7847CC163}">
  <dimension ref="D3:N23"/>
  <sheetViews>
    <sheetView showGridLines="0" topLeftCell="B1" zoomScale="90" zoomScaleNormal="90" workbookViewId="0">
      <selection activeCell="C6" sqref="C6"/>
    </sheetView>
  </sheetViews>
  <sheetFormatPr defaultRowHeight="15" x14ac:dyDescent="0.25"/>
  <cols>
    <col min="1" max="1" width="2.140625" customWidth="1"/>
    <col min="2" max="2" width="150.5703125" customWidth="1"/>
    <col min="3" max="3" width="9.42578125" customWidth="1"/>
    <col min="4" max="4" width="184.42578125" customWidth="1"/>
  </cols>
  <sheetData>
    <row r="3" spans="4:14" ht="104.1" customHeight="1" x14ac:dyDescent="0.25">
      <c r="D3" s="300" t="s">
        <v>433</v>
      </c>
      <c r="E3" s="268"/>
      <c r="F3" s="268"/>
      <c r="G3" s="268"/>
      <c r="H3" s="268"/>
      <c r="I3" s="268"/>
      <c r="J3" s="268"/>
      <c r="K3" s="268"/>
      <c r="L3" s="141"/>
      <c r="M3" s="141"/>
      <c r="N3" s="141"/>
    </row>
    <row r="4" spans="4:14" x14ac:dyDescent="0.25">
      <c r="D4" s="268"/>
      <c r="E4" s="268"/>
      <c r="F4" s="268"/>
      <c r="G4" s="268"/>
      <c r="H4" s="268"/>
      <c r="I4" s="268"/>
      <c r="J4" s="268"/>
      <c r="K4" s="268"/>
      <c r="L4" s="141"/>
      <c r="M4" s="141"/>
      <c r="N4" s="141"/>
    </row>
    <row r="5" spans="4:14" x14ac:dyDescent="0.25">
      <c r="D5" s="268"/>
      <c r="E5" s="268"/>
      <c r="F5" s="268"/>
      <c r="G5" s="268"/>
      <c r="H5" s="268"/>
      <c r="I5" s="268"/>
      <c r="J5" s="268"/>
      <c r="K5" s="268"/>
      <c r="L5" s="141"/>
      <c r="M5" s="141"/>
      <c r="N5" s="141"/>
    </row>
    <row r="6" spans="4:14" ht="111.75" customHeight="1" x14ac:dyDescent="0.25">
      <c r="D6" s="268"/>
      <c r="E6" s="268"/>
      <c r="F6" s="268"/>
      <c r="G6" s="268"/>
      <c r="H6" s="268"/>
      <c r="I6" s="268"/>
      <c r="J6" s="268"/>
      <c r="K6" s="268"/>
      <c r="L6" s="141"/>
      <c r="M6" s="141"/>
      <c r="N6" s="141"/>
    </row>
    <row r="7" spans="4:14" x14ac:dyDescent="0.25">
      <c r="D7" s="137"/>
    </row>
    <row r="8" spans="4:14" ht="111.75" customHeight="1" x14ac:dyDescent="0.25">
      <c r="D8" s="137"/>
      <c r="K8" t="s">
        <v>434</v>
      </c>
    </row>
    <row r="9" spans="4:14" ht="111.75" customHeight="1" x14ac:dyDescent="0.25">
      <c r="D9" s="137"/>
    </row>
    <row r="10" spans="4:14" ht="111.75" customHeight="1" x14ac:dyDescent="0.25">
      <c r="D10" s="140" t="s">
        <v>285</v>
      </c>
    </row>
    <row r="11" spans="4:14" ht="111.75" customHeight="1" x14ac:dyDescent="0.25">
      <c r="D11" s="140"/>
    </row>
    <row r="12" spans="4:14" ht="111.75" customHeight="1" x14ac:dyDescent="0.25">
      <c r="D12" s="137"/>
    </row>
    <row r="13" spans="4:14" ht="111.75" customHeight="1" x14ac:dyDescent="0.25">
      <c r="D13" s="137"/>
    </row>
    <row r="14" spans="4:14" ht="111.75" customHeight="1" x14ac:dyDescent="0.25">
      <c r="D14" s="137"/>
    </row>
    <row r="15" spans="4:14" x14ac:dyDescent="0.25">
      <c r="D15" s="138"/>
    </row>
    <row r="16" spans="4:14" ht="156" customHeight="1" x14ac:dyDescent="0.25">
      <c r="D16" s="137"/>
    </row>
    <row r="17" spans="4:4" x14ac:dyDescent="0.25">
      <c r="D17" s="137"/>
    </row>
    <row r="18" spans="4:4" x14ac:dyDescent="0.25">
      <c r="D18" s="140" t="s">
        <v>435</v>
      </c>
    </row>
    <row r="19" spans="4:4" x14ac:dyDescent="0.25">
      <c r="D19" s="137"/>
    </row>
    <row r="20" spans="4:4" x14ac:dyDescent="0.25">
      <c r="D20" s="137"/>
    </row>
    <row r="21" spans="4:4" x14ac:dyDescent="0.25">
      <c r="D21" s="137"/>
    </row>
    <row r="22" spans="4:4" x14ac:dyDescent="0.25">
      <c r="D22" s="137"/>
    </row>
    <row r="23" spans="4:4" x14ac:dyDescent="0.25">
      <c r="D23" s="137"/>
    </row>
  </sheetData>
  <sheetProtection algorithmName="SHA-512" hashValue="rpz0MjKuTKhuXf6dUU4ke0jxQnb/f3DpAVbVC+lpo12I+SrPoJfrsEVOyibxWSFS0/CFSjHzowvb0i4laovpsg==" saltValue="lwn+oCzr1z5gy0/gysokQg==" spinCount="100000" sheet="1" objects="1" scenarios="1"/>
  <mergeCells count="1">
    <mergeCell ref="D3:K6"/>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x m l n s = " h t t p : / / s c h e m a s . m i c r o s o f t . c o m / D a t a M a s h u p " > A A A A A B I D A A B Q S w M E F A A C A A g A b E e b U o 0 G h 5 C i A A A A 9 Q A A A B I A H A B D b 2 5 m a W c v U G F j a 2 F n Z S 5 4 b W w g o h g A K K A U A A A A A A A A A A A A A A A A A A A A A A A A A A A A h Y + x D o I w F E V / h X S n L e h A y K M M r p K Y E I 1 r U y o 2 w s P Q Y v k 3 B z / J X x C j q J v j v e c M 9 9 6 v N 8 j H t g k u u r e m w 4 x E l J N A o + o q g 3 V G B n c I E 5 I L 2 E h 1 k r U O J h l t O t o q I 0 f n z i l j 3 n v q F 7 T r a x Z z H r F 9 s S 7 V U b e S f G T z X w 4 N W i d R a S J g 9 x o j Y p o s a c K n S c D m D g q D X x 5 P 7 E l / S l g N j R t 6 L T S G 2 x L Y H I G 9 L 4 g H U E s D B B Q A A g A I A G x H m 1 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s R 5 t S K I p H u A 4 A A A A R A A A A E w A c A E Z v c m 1 1 b G F z L 1 N l Y 3 R p b 2 4 x L m 0 g o h g A K K A U A A A A A A A A A A A A A A A A A A A A A A A A A A A A K 0 5 N L s n M z 1 M I h t C G 1 g B Q S w E C L Q A U A A I A C A B s R 5 t S j Q a H k K I A A A D 1 A A A A E g A A A A A A A A A A A A A A A A A A A A A A Q 2 9 u Z m l n L 1 B h Y 2 t h Z 2 U u e G 1 s U E s B A i 0 A F A A C A A g A b E e b U g / K 6 a u k A A A A 6 Q A A A B M A A A A A A A A A A A A A A A A A 7 g A A A F t D b 2 5 0 Z W 5 0 X 1 R 5 c G V z X S 5 4 b W x Q S w E C L Q A U A A I A C A B s R 5 t S 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f i c M f t U 7 0 k K l 3 S C / i o b F Z A A A A A A C A A A A A A A D Z g A A w A A A A B A A A A B 6 2 t H 2 3 Q v Y Y L x 6 k y V 8 F u r c A A A A A A S A A A C g A A A A E A A A A F 3 x 8 7 X 9 k u q I D r / D 5 8 Q o S k 5 Q A A A A Y 4 y c z 6 3 x 6 i R h z Q G I 9 d v R b F i D 9 j Y g P B z / 0 X g R D U x a a m w r A 7 E K f P 4 d M K B L J e B P j G i p Z R U d 1 p J G h E g b c q H 2 4 6 P D i e p 7 M t v N q r q E B b 9 Z 3 j X v / y 0 U A A A A 4 S C 2 T r J j r a M v x o 8 x J Q C V t R S S Z 0 c = < / D a t a M a s h u p > 
</file>

<file path=customXml/item2.xml><?xml version="1.0" encoding="utf-8"?>
<p:properties xmlns:p="http://schemas.microsoft.com/office/2006/metadata/properties" xmlns:xsi="http://www.w3.org/2001/XMLSchema-instance" xmlns:pc="http://schemas.microsoft.com/office/infopath/2007/PartnerControls">
  <documentManagement>
    <_dlc_DocIdPersistId xmlns="77339f7b-c6af-4b4e-8d3f-5db3f0e4bd61" xsi:nil="true"/>
    <_dlc_DocId xmlns="77339f7b-c6af-4b4e-8d3f-5db3f0e4bd61">APAMCD-1420315043-115568</_dlc_DocId>
    <_dlc_DocIdUrl xmlns="77339f7b-c6af-4b4e-8d3f-5db3f0e4bd61">
      <Url>https://apawood.sharepoint.com/sites/MCD/_layouts/15/DocIdRedir.aspx?ID=APAMCD-1420315043-115568</Url>
      <Description>APAMCD-1420315043-115568</Description>
    </_dlc_DocIdUrl>
    <TaxCatchAll xmlns="77339f7b-c6af-4b4e-8d3f-5db3f0e4bd61" xsi:nil="true"/>
    <lcf76f155ced4ddcb4097134ff3c332f xmlns="bdbde63c-deb3-4da3-a3c0-1b2cad51082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8894315E036BB14CB92008636287BF29" ma:contentTypeVersion="15" ma:contentTypeDescription="Create a new document." ma:contentTypeScope="" ma:versionID="de6d6a41b0cbbfcb530e2ff972d69b1d">
  <xsd:schema xmlns:xsd="http://www.w3.org/2001/XMLSchema" xmlns:xs="http://www.w3.org/2001/XMLSchema" xmlns:p="http://schemas.microsoft.com/office/2006/metadata/properties" xmlns:ns2="77339f7b-c6af-4b4e-8d3f-5db3f0e4bd61" xmlns:ns3="bdbde63c-deb3-4da3-a3c0-1b2cad51082d" targetNamespace="http://schemas.microsoft.com/office/2006/metadata/properties" ma:root="true" ma:fieldsID="57a7d9ea7cad54465fcd77dcdfdcb7ac" ns2:_="" ns3:_="">
    <xsd:import namespace="77339f7b-c6af-4b4e-8d3f-5db3f0e4bd61"/>
    <xsd:import namespace="bdbde63c-deb3-4da3-a3c0-1b2cad51082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2:SharedWithUsers" minOccurs="0"/>
                <xsd:element ref="ns2:SharedWithDetail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339f7b-c6af-4b4e-8d3f-5db3f0e4bd6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e549ca0b-61ae-4f96-b14e-a629531de4f3}" ma:internalName="TaxCatchAll" ma:showField="CatchAllData" ma:web="77339f7b-c6af-4b4e-8d3f-5db3f0e4bd6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dbde63c-deb3-4da3-a3c0-1b2cad51082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6d11163d-ea21-409d-af59-c1e3e7174b8f" ma:termSetId="09814cd3-568e-fe90-9814-8d621ff8fb84" ma:anchorId="fba54fb3-c3e1-fe81-a776-ca4b69148c4d" ma:open="true" ma:isKeyword="false">
      <xsd:complexType>
        <xsd:sequence>
          <xsd:element ref="pc:Terms" minOccurs="0" maxOccurs="1"/>
        </xsd:sequence>
      </xsd:complex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FDFDC23-09B5-4C20-9570-A5487C635C3D}">
  <ds:schemaRefs>
    <ds:schemaRef ds:uri="http://schemas.microsoft.com/DataMashup"/>
  </ds:schemaRefs>
</ds:datastoreItem>
</file>

<file path=customXml/itemProps2.xml><?xml version="1.0" encoding="utf-8"?>
<ds:datastoreItem xmlns:ds="http://schemas.openxmlformats.org/officeDocument/2006/customXml" ds:itemID="{8E056191-1B3E-40C6-BB91-147FA1C93EFA}">
  <ds:schemaRefs>
    <ds:schemaRef ds:uri="http://schemas.microsoft.com/office/2006/metadata/properties"/>
    <ds:schemaRef ds:uri="http://schemas.microsoft.com/office/infopath/2007/PartnerControls"/>
    <ds:schemaRef ds:uri="http://schemas.microsoft.com/sharepoint/v3"/>
    <ds:schemaRef ds:uri="77339f7b-c6af-4b4e-8d3f-5db3f0e4bd61"/>
    <ds:schemaRef ds:uri="a551ea11-350a-434d-a468-070b5fc7811b"/>
    <ds:schemaRef ds:uri="bdbde63c-deb3-4da3-a3c0-1b2cad51082d"/>
  </ds:schemaRefs>
</ds:datastoreItem>
</file>

<file path=customXml/itemProps3.xml><?xml version="1.0" encoding="utf-8"?>
<ds:datastoreItem xmlns:ds="http://schemas.openxmlformats.org/officeDocument/2006/customXml" ds:itemID="{240A5024-9C9C-4A7A-80A8-C5814D396195}">
  <ds:schemaRefs>
    <ds:schemaRef ds:uri="http://schemas.microsoft.com/sharepoint/v3/contenttype/forms"/>
  </ds:schemaRefs>
</ds:datastoreItem>
</file>

<file path=customXml/itemProps4.xml><?xml version="1.0" encoding="utf-8"?>
<ds:datastoreItem xmlns:ds="http://schemas.openxmlformats.org/officeDocument/2006/customXml" ds:itemID="{BED273B9-2638-4B46-8F5D-4731C8B9BA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339f7b-c6af-4b4e-8d3f-5db3f0e4bd61"/>
    <ds:schemaRef ds:uri="bdbde63c-deb3-4da3-a3c0-1b2cad5108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478D2BDD-2D6A-402A-A547-8885F7994F7D}">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19</vt:i4>
      </vt:variant>
    </vt:vector>
  </HeadingPairs>
  <TitlesOfParts>
    <vt:vector size="26" baseType="lpstr">
      <vt:lpstr>Instructions &amp; Definitions</vt:lpstr>
      <vt:lpstr>Design Example (APA T555)</vt:lpstr>
      <vt:lpstr>One Opening</vt:lpstr>
      <vt:lpstr>Two Openings</vt:lpstr>
      <vt:lpstr>Three Openings</vt:lpstr>
      <vt:lpstr>LookUp</vt:lpstr>
      <vt:lpstr>Images</vt:lpstr>
      <vt:lpstr>Expire</vt:lpstr>
      <vt:lpstr>ExpireOpen</vt:lpstr>
      <vt:lpstr>ExpireThree</vt:lpstr>
      <vt:lpstr>FastenerSlip</vt:lpstr>
      <vt:lpstr>InstructLogo</vt:lpstr>
      <vt:lpstr>OneOpen</vt:lpstr>
      <vt:lpstr>'Design Example (APA T555)'!Print_Area</vt:lpstr>
      <vt:lpstr>'Instructions &amp; Definitions'!Print_Area</vt:lpstr>
      <vt:lpstr>'One Opening'!Print_Area</vt:lpstr>
      <vt:lpstr>'Three Openings'!Print_Area</vt:lpstr>
      <vt:lpstr>'Two Openings'!Print_Area</vt:lpstr>
      <vt:lpstr>'Design Example (APA T555)'!Print_Titles</vt:lpstr>
      <vt:lpstr>'One Opening'!Print_Titles</vt:lpstr>
      <vt:lpstr>'Three Openings'!Print_Titles</vt:lpstr>
      <vt:lpstr>'Two Openings'!Print_Titles</vt:lpstr>
      <vt:lpstr>Table25</vt:lpstr>
      <vt:lpstr>Table50</vt:lpstr>
      <vt:lpstr>ThreeOpen</vt:lpstr>
      <vt:lpstr>TwoOpen</vt:lpstr>
    </vt:vector>
  </TitlesOfParts>
  <Manager/>
  <Company>APA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FTAO Team</dc:creator>
  <cp:keywords/>
  <dc:description/>
  <cp:lastModifiedBy>Ryan Zheng</cp:lastModifiedBy>
  <cp:revision/>
  <dcterms:created xsi:type="dcterms:W3CDTF">2015-03-03T18:34:05Z</dcterms:created>
  <dcterms:modified xsi:type="dcterms:W3CDTF">2025-05-16T01:01:54Z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0x0101008894315E036BB14CB92008636287BF29</vt:lpwstr>
  </property>
  <property fmtid="{D5CDD505-2E9C-101B-9397-08002B2CF9AE}" pid="3" name="_dlc_DocIdItemGuid">
    <vt:lpwstr>fd410a69-fcc5-4b6c-9952-65dc51ecc11b</vt:lpwstr>
  </property>
  <property fmtid="{D5CDD505-2E9C-101B-9397-08002B2CF9AE}" pid="4" name="MediaServiceImageTags">
    <vt:lpwstr/>
  </property>
</Properties>
</file>